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7. AStA\Finanzen\HHP22\"/>
    </mc:Choice>
  </mc:AlternateContent>
  <bookViews>
    <workbookView xWindow="0" yWindow="0" windowWidth="28800" windowHeight="12435" tabRatio="691" activeTab="5"/>
  </bookViews>
  <sheets>
    <sheet name="Einstellungen" sheetId="1" r:id="rId1"/>
    <sheet name="Kap 1000-4000" sheetId="3" r:id="rId2"/>
    <sheet name="Kap 5000 Kern-AStA" sheetId="13" r:id="rId3"/>
    <sheet name="Kap 6000 autonome Referate" sheetId="24" r:id="rId4"/>
    <sheet name="Kap 7000 AStA-AGen" sheetId="28" r:id="rId5"/>
    <sheet name="Kap 8000 weitere Studierendensc" sheetId="14" r:id="rId6"/>
    <sheet name="FS Matrix" sheetId="37" r:id="rId7"/>
    <sheet name="Stellenplan" sheetId="39" r:id="rId8"/>
  </sheets>
  <definedNames>
    <definedName name="Print_Area" localSheetId="6">'FS Matrix'!$A$1:$H$34</definedName>
    <definedName name="Print_Area" localSheetId="1">'Kap 1000-4000'!$B$1:$H$22</definedName>
    <definedName name="Print_Area" localSheetId="7">Stellenplan!$A$1:$G$34</definedName>
  </definedNames>
  <calcPr calcId="152511"/>
</workbook>
</file>

<file path=xl/calcChain.xml><?xml version="1.0" encoding="utf-8"?>
<calcChain xmlns="http://schemas.openxmlformats.org/spreadsheetml/2006/main">
  <c r="C24" i="3" l="1"/>
  <c r="G47" i="3"/>
  <c r="B34" i="14"/>
  <c r="F34" i="14"/>
  <c r="B28" i="24"/>
  <c r="C28" i="24"/>
  <c r="D28" i="24"/>
  <c r="F28" i="24"/>
  <c r="G28" i="24"/>
  <c r="H28" i="24"/>
  <c r="E39" i="37"/>
  <c r="E2" i="37"/>
  <c r="H39" i="37"/>
  <c r="G34" i="14" l="1"/>
  <c r="H45" i="13" l="1"/>
  <c r="G45" i="13"/>
  <c r="F45" i="13"/>
  <c r="B45" i="13"/>
  <c r="B46" i="28"/>
  <c r="C46" i="28"/>
  <c r="D46" i="28"/>
  <c r="F46" i="28"/>
  <c r="G46" i="28"/>
  <c r="H46" i="28"/>
  <c r="G17" i="3"/>
  <c r="C11" i="3"/>
  <c r="H47" i="3" l="1"/>
  <c r="B47" i="3"/>
  <c r="F43" i="3"/>
  <c r="F47" i="3" s="1"/>
  <c r="H41" i="3"/>
  <c r="F41" i="3"/>
  <c r="D41" i="3"/>
  <c r="B41" i="3"/>
  <c r="H35" i="3"/>
  <c r="G35" i="3"/>
  <c r="F35" i="3"/>
  <c r="D35" i="3"/>
  <c r="C35" i="3"/>
  <c r="B35" i="3"/>
  <c r="H29" i="3"/>
  <c r="G29" i="3"/>
  <c r="F29" i="3"/>
  <c r="D29" i="3"/>
  <c r="C29" i="3"/>
  <c r="C34" i="14" s="1"/>
  <c r="B29" i="3"/>
  <c r="H43" i="13"/>
  <c r="G43" i="13"/>
  <c r="F43" i="13"/>
  <c r="D43" i="13"/>
  <c r="C43" i="13"/>
  <c r="B43" i="13"/>
  <c r="H36" i="13"/>
  <c r="G36" i="13"/>
  <c r="F36" i="13"/>
  <c r="D36" i="13"/>
  <c r="C36" i="13"/>
  <c r="B36" i="13"/>
  <c r="H29" i="13"/>
  <c r="G29" i="13"/>
  <c r="F29" i="13"/>
  <c r="D29" i="13"/>
  <c r="C29" i="13"/>
  <c r="B29" i="13"/>
  <c r="H24" i="13"/>
  <c r="G24" i="13"/>
  <c r="D24" i="13"/>
  <c r="D45" i="13" s="1"/>
  <c r="C24" i="13"/>
  <c r="C45" i="13" s="1"/>
  <c r="B24" i="13"/>
  <c r="F23" i="13"/>
  <c r="F24" i="13" s="1"/>
  <c r="H19" i="13"/>
  <c r="G19" i="13"/>
  <c r="D19" i="13"/>
  <c r="C19" i="13"/>
  <c r="F18" i="13"/>
  <c r="B18" i="13"/>
  <c r="B19" i="13" s="1"/>
  <c r="F17" i="13"/>
  <c r="F19" i="13" s="1"/>
  <c r="H13" i="13"/>
  <c r="G13" i="13"/>
  <c r="F13" i="13"/>
  <c r="D13" i="13"/>
  <c r="C13" i="13"/>
  <c r="B13" i="13"/>
  <c r="C32" i="14" l="1"/>
  <c r="D32" i="14"/>
  <c r="H30" i="14"/>
  <c r="G30" i="14"/>
  <c r="F30" i="14"/>
  <c r="D30" i="14"/>
  <c r="C30" i="14"/>
  <c r="B30" i="14"/>
  <c r="H23" i="14"/>
  <c r="G23" i="14"/>
  <c r="C39" i="37" s="1"/>
  <c r="D23" i="14"/>
  <c r="C23" i="14"/>
  <c r="B23" i="14"/>
  <c r="F22" i="14"/>
  <c r="F23" i="14" s="1"/>
  <c r="H17" i="14"/>
  <c r="G17" i="14"/>
  <c r="D17" i="14"/>
  <c r="C17" i="14"/>
  <c r="B17" i="14"/>
  <c r="F16" i="14"/>
  <c r="B16" i="14"/>
  <c r="F14" i="14"/>
  <c r="F17" i="14" s="1"/>
  <c r="H12" i="14"/>
  <c r="G12" i="14"/>
  <c r="D12" i="14"/>
  <c r="C12" i="14"/>
  <c r="B12" i="14"/>
  <c r="F8" i="14"/>
  <c r="F12" i="14" s="1"/>
  <c r="H44" i="28" l="1"/>
  <c r="G44" i="28"/>
  <c r="F44" i="28"/>
  <c r="D44" i="28"/>
  <c r="C44" i="28"/>
  <c r="B44" i="28"/>
  <c r="H38" i="28"/>
  <c r="G38" i="28"/>
  <c r="D38" i="28"/>
  <c r="C38" i="28"/>
  <c r="B38" i="28"/>
  <c r="F37" i="28"/>
  <c r="F38" i="28" s="1"/>
  <c r="H32" i="28"/>
  <c r="G32" i="28"/>
  <c r="D32" i="28"/>
  <c r="C32" i="28"/>
  <c r="B32" i="28"/>
  <c r="F31" i="28"/>
  <c r="F32" i="28" s="1"/>
  <c r="H26" i="28"/>
  <c r="G26" i="28"/>
  <c r="D26" i="28"/>
  <c r="C26" i="28"/>
  <c r="B26" i="28"/>
  <c r="F25" i="28"/>
  <c r="F26" i="28" s="1"/>
  <c r="H20" i="28"/>
  <c r="G20" i="28"/>
  <c r="D20" i="28"/>
  <c r="C20" i="28"/>
  <c r="B20" i="28"/>
  <c r="F19" i="28"/>
  <c r="F20" i="28" s="1"/>
  <c r="H14" i="28"/>
  <c r="G14" i="28"/>
  <c r="D14" i="28"/>
  <c r="C14" i="28"/>
  <c r="B14" i="28"/>
  <c r="F13" i="28"/>
  <c r="F11" i="28"/>
  <c r="F14" i="28" s="1"/>
  <c r="H26" i="24" l="1"/>
  <c r="G26" i="24"/>
  <c r="D26" i="24"/>
  <c r="C26" i="24"/>
  <c r="B26" i="24"/>
  <c r="F25" i="24"/>
  <c r="B25" i="24"/>
  <c r="F23" i="24"/>
  <c r="F26" i="24" s="1"/>
  <c r="H20" i="24"/>
  <c r="G20" i="24"/>
  <c r="D20" i="24"/>
  <c r="C20" i="24"/>
  <c r="F19" i="24"/>
  <c r="F20" i="24" s="1"/>
  <c r="B19" i="24"/>
  <c r="B20" i="24" s="1"/>
  <c r="F17" i="24"/>
  <c r="H14" i="24"/>
  <c r="G14" i="24"/>
  <c r="D14" i="24"/>
  <c r="C14" i="24"/>
  <c r="B14" i="24"/>
  <c r="F13" i="24"/>
  <c r="F14" i="24" s="1"/>
  <c r="G16" i="3" l="1"/>
  <c r="G15" i="3"/>
  <c r="G14" i="3"/>
  <c r="F22" i="3"/>
  <c r="H22" i="3"/>
  <c r="C21" i="3"/>
  <c r="C20" i="3"/>
  <c r="C19" i="3"/>
  <c r="C18" i="3"/>
  <c r="C17" i="3"/>
  <c r="C16" i="3"/>
  <c r="C15" i="3"/>
  <c r="C14" i="3"/>
  <c r="C22" i="3" s="1"/>
  <c r="C8" i="3"/>
  <c r="C4" i="3"/>
  <c r="H13" i="3"/>
  <c r="H34" i="14" s="1"/>
  <c r="F13" i="3"/>
  <c r="D13" i="3"/>
  <c r="B13" i="3"/>
  <c r="D22" i="3"/>
  <c r="B22" i="3"/>
  <c r="G22" i="3" l="1"/>
  <c r="C13" i="3"/>
  <c r="F7" i="28" l="1"/>
  <c r="F5" i="28"/>
  <c r="F7" i="24"/>
  <c r="F5" i="24"/>
  <c r="B8" i="13"/>
  <c r="F8" i="13"/>
  <c r="F7" i="13"/>
  <c r="C30" i="39" l="1"/>
  <c r="C28" i="39"/>
  <c r="C27" i="39"/>
  <c r="C26" i="39"/>
  <c r="C25" i="39"/>
  <c r="C24" i="39"/>
  <c r="C22" i="39"/>
  <c r="C21" i="39"/>
  <c r="C20" i="39"/>
  <c r="C19" i="39"/>
  <c r="C18" i="39"/>
  <c r="C17" i="39"/>
  <c r="C16" i="39"/>
  <c r="C14" i="39"/>
  <c r="C13" i="39"/>
  <c r="C12" i="39"/>
  <c r="C11" i="39"/>
  <c r="C9" i="39"/>
  <c r="C8" i="39"/>
  <c r="C7" i="39"/>
  <c r="C6" i="39"/>
  <c r="C5" i="39"/>
  <c r="C4" i="39"/>
  <c r="C3" i="39"/>
  <c r="H19" i="1"/>
  <c r="G19" i="1"/>
  <c r="F19" i="1"/>
  <c r="A9" i="3"/>
  <c r="C24" i="1"/>
  <c r="B34" i="39" l="1"/>
  <c r="D34" i="37"/>
  <c r="C3" i="37"/>
  <c r="E34" i="37"/>
  <c r="F34" i="37"/>
  <c r="G34" i="37"/>
  <c r="A12" i="3" l="1"/>
  <c r="A11" i="3"/>
  <c r="A10" i="3"/>
  <c r="A8" i="3"/>
  <c r="A7" i="3"/>
  <c r="A6" i="3"/>
  <c r="A5" i="3"/>
  <c r="A4" i="3"/>
  <c r="D2" i="28" l="1"/>
  <c r="H2" i="28" s="1"/>
  <c r="C2" i="28"/>
  <c r="G2" i="28" s="1"/>
  <c r="B2" i="28"/>
  <c r="F2" i="28" s="1"/>
  <c r="D2" i="24"/>
  <c r="H2" i="24" s="1"/>
  <c r="C2" i="24"/>
  <c r="G2" i="24" s="1"/>
  <c r="B2" i="24"/>
  <c r="F2" i="24" s="1"/>
  <c r="D2" i="14"/>
  <c r="H2" i="14" s="1"/>
  <c r="C2" i="14"/>
  <c r="G2" i="14" s="1"/>
  <c r="B2" i="14"/>
  <c r="F2" i="14" s="1"/>
  <c r="D2" i="13"/>
  <c r="H2" i="13" s="1"/>
  <c r="C2" i="13"/>
  <c r="G2" i="13" s="1"/>
  <c r="B2" i="13"/>
  <c r="F2" i="13" s="1"/>
  <c r="D2" i="3"/>
  <c r="C2" i="3"/>
  <c r="G2" i="3" s="1"/>
  <c r="B2" i="3"/>
  <c r="F34" i="39"/>
  <c r="E34" i="39"/>
  <c r="D30" i="39"/>
  <c r="D28" i="39"/>
  <c r="D21" i="39"/>
  <c r="G21" i="39" s="1"/>
  <c r="D20" i="39"/>
  <c r="G20" i="39" s="1"/>
  <c r="D4" i="39"/>
  <c r="G4" i="39" s="1"/>
  <c r="D18" i="39"/>
  <c r="G18" i="39" s="1"/>
  <c r="D17" i="39"/>
  <c r="G17" i="39" s="1"/>
  <c r="D16" i="39"/>
  <c r="G16" i="39" s="1"/>
  <c r="F8" i="28" s="1"/>
  <c r="D22" i="39"/>
  <c r="G22" i="39" s="1"/>
  <c r="D8" i="39"/>
  <c r="G8" i="39" s="1"/>
  <c r="D7" i="39"/>
  <c r="G7" i="39" s="1"/>
  <c r="D11" i="39"/>
  <c r="G11" i="39" s="1"/>
  <c r="F8" i="24" s="1"/>
  <c r="D26" i="39"/>
  <c r="G26" i="39" s="1"/>
  <c r="D25" i="39"/>
  <c r="G25" i="39" s="1"/>
  <c r="D19" i="39"/>
  <c r="G19" i="39" s="1"/>
  <c r="D9" i="39"/>
  <c r="G9" i="39" s="1"/>
  <c r="D14" i="39"/>
  <c r="G14" i="39" s="1"/>
  <c r="D13" i="39"/>
  <c r="G13" i="39" s="1"/>
  <c r="D12" i="39"/>
  <c r="G12" i="39" s="1"/>
  <c r="D6" i="39"/>
  <c r="G6" i="39" s="1"/>
  <c r="D5" i="39"/>
  <c r="G5" i="39" s="1"/>
  <c r="D24" i="39"/>
  <c r="G24" i="39" s="1"/>
  <c r="F6" i="14" s="1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5" i="37"/>
  <c r="C4" i="37"/>
  <c r="H8" i="28"/>
  <c r="G8" i="28"/>
  <c r="D8" i="28"/>
  <c r="C8" i="28"/>
  <c r="B8" i="28"/>
  <c r="H8" i="24"/>
  <c r="G8" i="24"/>
  <c r="D8" i="24"/>
  <c r="C8" i="24"/>
  <c r="B8" i="24"/>
  <c r="H6" i="14"/>
  <c r="G6" i="14"/>
  <c r="D6" i="14"/>
  <c r="C6" i="14"/>
  <c r="B6" i="14"/>
  <c r="H9" i="13"/>
  <c r="G9" i="13"/>
  <c r="D9" i="13"/>
  <c r="C9" i="13"/>
  <c r="B9" i="13"/>
  <c r="H21" i="1"/>
  <c r="G21" i="1"/>
  <c r="F21" i="1"/>
  <c r="H20" i="1"/>
  <c r="G20" i="1"/>
  <c r="F20" i="1"/>
  <c r="H18" i="1"/>
  <c r="G18" i="1"/>
  <c r="F18" i="1"/>
  <c r="H17" i="1"/>
  <c r="G17" i="1"/>
  <c r="F17" i="1"/>
  <c r="H16" i="1"/>
  <c r="G16" i="1"/>
  <c r="F16" i="1"/>
  <c r="H15" i="1"/>
  <c r="G15" i="1"/>
  <c r="F15" i="1"/>
  <c r="H2" i="37" l="1"/>
  <c r="C2" i="37" s="1"/>
  <c r="G8" i="3"/>
  <c r="G27" i="39"/>
  <c r="H2" i="3"/>
  <c r="G28" i="39"/>
  <c r="D27" i="39"/>
  <c r="F2" i="3"/>
  <c r="C34" i="39"/>
  <c r="D3" i="39"/>
  <c r="G30" i="39"/>
  <c r="G5" i="3" l="1"/>
  <c r="H34" i="37"/>
  <c r="C34" i="37"/>
  <c r="D34" i="39"/>
  <c r="G3" i="39"/>
  <c r="G13" i="3" l="1"/>
  <c r="G34" i="39"/>
  <c r="F9" i="13" l="1"/>
</calcChain>
</file>

<file path=xl/sharedStrings.xml><?xml version="1.0" encoding="utf-8"?>
<sst xmlns="http://schemas.openxmlformats.org/spreadsheetml/2006/main" count="347" uniqueCount="312">
  <si>
    <t>Spalte 1</t>
  </si>
  <si>
    <t>Spalte 2</t>
  </si>
  <si>
    <t>Spalte 3</t>
  </si>
  <si>
    <t>Semesterticket OWL</t>
  </si>
  <si>
    <t>Semesterticket NRW</t>
  </si>
  <si>
    <t>SB Campusradio</t>
  </si>
  <si>
    <t>SB HSP</t>
  </si>
  <si>
    <t>Angenommene Studierendenzahl</t>
  </si>
  <si>
    <t>Sozialbeitrag</t>
  </si>
  <si>
    <t>Autonome Referate</t>
  </si>
  <si>
    <t>Einnahmen</t>
  </si>
  <si>
    <t>Ausgaben</t>
  </si>
  <si>
    <t>90 Sachmittel</t>
  </si>
  <si>
    <t>Fachschaft</t>
  </si>
  <si>
    <t>Gesamt</t>
  </si>
  <si>
    <t>50 AE</t>
  </si>
  <si>
    <t>60 Telefon</t>
  </si>
  <si>
    <t>70 Infomedien</t>
  </si>
  <si>
    <t>80 ext. Verpf.</t>
  </si>
  <si>
    <t>Ausgleichsmittel</t>
  </si>
  <si>
    <t>Lehramt</t>
  </si>
  <si>
    <t>Biologie</t>
  </si>
  <si>
    <t>Chemie</t>
  </si>
  <si>
    <t>DaF</t>
  </si>
  <si>
    <t>Geschichte</t>
  </si>
  <si>
    <t>Gesundheitswissenschaften</t>
  </si>
  <si>
    <t>Jura</t>
  </si>
  <si>
    <t>Kunst &amp; Musik</t>
  </si>
  <si>
    <t>Li/Li</t>
  </si>
  <si>
    <t>Mathematik</t>
  </si>
  <si>
    <t>Medienwissenschaften</t>
  </si>
  <si>
    <t>Erziehungswissenschaften</t>
  </si>
  <si>
    <t>Philosophie</t>
  </si>
  <si>
    <t>Physik</t>
  </si>
  <si>
    <t>Politikwissenschaften</t>
  </si>
  <si>
    <t>Psychologie</t>
  </si>
  <si>
    <t>Sozialwissenschaften</t>
  </si>
  <si>
    <t>Soziologie</t>
  </si>
  <si>
    <t>Sport</t>
  </si>
  <si>
    <t>Tech Fak</t>
  </si>
  <si>
    <t>Theologie</t>
  </si>
  <si>
    <t>Wirtschaftsmathematik</t>
  </si>
  <si>
    <t>WiWi</t>
  </si>
  <si>
    <t>Latein</t>
  </si>
  <si>
    <t>Gender Studies</t>
  </si>
  <si>
    <t>Anglistik</t>
  </si>
  <si>
    <t>Literaturwissenschaft</t>
  </si>
  <si>
    <t>PolKom</t>
  </si>
  <si>
    <t>Medizin</t>
  </si>
  <si>
    <t>Summe</t>
  </si>
  <si>
    <t>Kontrolle:</t>
  </si>
  <si>
    <t>Summe 50</t>
  </si>
  <si>
    <t>Stellen</t>
  </si>
  <si>
    <t>Summe Monat</t>
  </si>
  <si>
    <t>Summe Jahr</t>
  </si>
  <si>
    <t>+ Projekt AEn</t>
  </si>
  <si>
    <t>+ StuPa AEn</t>
  </si>
  <si>
    <t>A 0100</t>
  </si>
  <si>
    <t>A 0200</t>
  </si>
  <si>
    <t>A 0300</t>
  </si>
  <si>
    <t>A 0400</t>
  </si>
  <si>
    <t>A 0500</t>
  </si>
  <si>
    <t>A 0000</t>
  </si>
  <si>
    <t>Semester 1100</t>
  </si>
  <si>
    <t>Semester 1200</t>
  </si>
  <si>
    <t>Semester 1300</t>
  </si>
  <si>
    <t>A 2000</t>
  </si>
  <si>
    <t>2021 Auszahlungen</t>
  </si>
  <si>
    <t>2022 Rückzahlungen</t>
  </si>
  <si>
    <t>2023 Rechtsbeistand</t>
  </si>
  <si>
    <t>2025 Sonstiges</t>
  </si>
  <si>
    <t>3131 Rechtsberatung</t>
  </si>
  <si>
    <t>A 3000</t>
  </si>
  <si>
    <t>A 3500</t>
  </si>
  <si>
    <t>3232 Schuldnerberatung</t>
  </si>
  <si>
    <t>A 2021</t>
  </si>
  <si>
    <t>A 2022</t>
  </si>
  <si>
    <t>A 2023</t>
  </si>
  <si>
    <t>A 2025</t>
  </si>
  <si>
    <t>A 1200</t>
  </si>
  <si>
    <t>A 1300</t>
  </si>
  <si>
    <t>A 1400</t>
  </si>
  <si>
    <t>A 1500</t>
  </si>
  <si>
    <t>A 1600</t>
  </si>
  <si>
    <t>A 1700</t>
  </si>
  <si>
    <t>A 1800</t>
  </si>
  <si>
    <t>A 1900</t>
  </si>
  <si>
    <t>A 1000</t>
  </si>
  <si>
    <t>A 4100</t>
  </si>
  <si>
    <t>A 4300</t>
  </si>
  <si>
    <t>A 4400</t>
  </si>
  <si>
    <t>A 4000</t>
  </si>
  <si>
    <t>4545 Abgaben AEen</t>
  </si>
  <si>
    <t>Summe 5000 Kern-AStA</t>
  </si>
  <si>
    <t>Summe 5100 Allg. Verwaltung</t>
  </si>
  <si>
    <t>Summe 5200 StiB</t>
  </si>
  <si>
    <t>Summe 5300 AStA</t>
  </si>
  <si>
    <t>Summe 5800 AStA Kultur</t>
  </si>
  <si>
    <t>Summe 5600 AudiMin</t>
  </si>
  <si>
    <t>Summe 5500 Verkehrsgruppe</t>
  </si>
  <si>
    <t>Summe 5400 Freie Projekte</t>
  </si>
  <si>
    <t>A 5500</t>
  </si>
  <si>
    <t>A 5400</t>
  </si>
  <si>
    <t>A 5300</t>
  </si>
  <si>
    <t>A 5200</t>
  </si>
  <si>
    <t>A 5100</t>
  </si>
  <si>
    <t>A 5800</t>
  </si>
  <si>
    <t>A 5600</t>
  </si>
  <si>
    <t>Summe 6000 Autonome Referate</t>
  </si>
  <si>
    <t>Summe 6300 RSB</t>
  </si>
  <si>
    <t>A 6300</t>
  </si>
  <si>
    <t>Summe 6500 ISR</t>
  </si>
  <si>
    <t>Summe 6600 IafRFLT</t>
  </si>
  <si>
    <t>Summe 6700 SchwuR</t>
  </si>
  <si>
    <t>A 6700</t>
  </si>
  <si>
    <t>A 6600</t>
  </si>
  <si>
    <t>A 6500</t>
  </si>
  <si>
    <t>Summe 7100 Antifa AG</t>
  </si>
  <si>
    <t>A 7100</t>
  </si>
  <si>
    <t>A 7200</t>
  </si>
  <si>
    <t>A 7600</t>
  </si>
  <si>
    <t>A 7300</t>
  </si>
  <si>
    <t>Summe 7300 AG Sol-I</t>
  </si>
  <si>
    <t>Summe 7600 fclr</t>
  </si>
  <si>
    <t>Summe 7700 Aktionstage</t>
  </si>
  <si>
    <t>A 7700</t>
  </si>
  <si>
    <t>Summe 7800 AntiRa AG</t>
  </si>
  <si>
    <t>A 7800</t>
  </si>
  <si>
    <t>A 7900</t>
  </si>
  <si>
    <t>Summe 7900 Anaconda</t>
  </si>
  <si>
    <t>E 8150 Aufwandsentschädigungen</t>
  </si>
  <si>
    <t>E 8190 Sachmittel</t>
  </si>
  <si>
    <t>Summe 8100 StuPa</t>
  </si>
  <si>
    <t>A 8300</t>
  </si>
  <si>
    <t>Summe 8300 Radtschlag</t>
  </si>
  <si>
    <t>Summe 8200 Beratungen</t>
  </si>
  <si>
    <t>A 8100</t>
  </si>
  <si>
    <t>A 8200</t>
  </si>
  <si>
    <t>A 8500</t>
  </si>
  <si>
    <t>Summe 8500 Fachschaften</t>
  </si>
  <si>
    <t>Summe 8900 Unvorhergesehenes</t>
  </si>
  <si>
    <t>A 8900</t>
  </si>
  <si>
    <t>E 8250 Aufwandsentschädigungen</t>
  </si>
  <si>
    <t>E 8270 Infomedien</t>
  </si>
  <si>
    <t>E 8280 ext. Verpflichtungen</t>
  </si>
  <si>
    <t>E 8290 Sachmittel</t>
  </si>
  <si>
    <t>E 8350 Aufwandsentschädigungen</t>
  </si>
  <si>
    <t>E 8380 ext. Verpflichtungen</t>
  </si>
  <si>
    <t>E 8390 Sachmittel</t>
  </si>
  <si>
    <t>E 8560 Telefon</t>
  </si>
  <si>
    <t>E 8570 Infomedien</t>
  </si>
  <si>
    <t>E 8580 ext. Verpflichtungen</t>
  </si>
  <si>
    <t>E 8590 Sachmittel</t>
  </si>
  <si>
    <t>E 8950 Aufwandsentschädigungen</t>
  </si>
  <si>
    <t>E 8960 Telefon</t>
  </si>
  <si>
    <t>E 8970 Infomedien</t>
  </si>
  <si>
    <t>E 8980 ext. Verpflichtungen</t>
  </si>
  <si>
    <t>E 8990 Sachmittel</t>
  </si>
  <si>
    <t>Summe 8000 Weitere Studierendenschaft</t>
  </si>
  <si>
    <t>Kostenstelle</t>
  </si>
  <si>
    <t>5100 Allgemeine Verwaltung</t>
  </si>
  <si>
    <t>8100 StuPa</t>
  </si>
  <si>
    <t>5300 AStA</t>
  </si>
  <si>
    <t>5400 freie Projekte</t>
  </si>
  <si>
    <t>6600 IaFLTR</t>
  </si>
  <si>
    <t>6500 ISR</t>
  </si>
  <si>
    <t>8900 Unvorhergesehenes</t>
  </si>
  <si>
    <t>Ehemalige Kostenstelle 92 Telefon</t>
  </si>
  <si>
    <t>8500 Fachschaften</t>
  </si>
  <si>
    <t>5200 StiB</t>
  </si>
  <si>
    <t>7900 FKKG Anaconda</t>
  </si>
  <si>
    <t>7100 Antifa AG</t>
  </si>
  <si>
    <t>7200 AG freie Bildung</t>
  </si>
  <si>
    <t>7300 AG Sol-I</t>
  </si>
  <si>
    <t>6700 SchwuR</t>
  </si>
  <si>
    <t>5800 AStA Kultur</t>
  </si>
  <si>
    <t>7700 Aktionstage</t>
  </si>
  <si>
    <t>7800 AntiRa AG</t>
  </si>
  <si>
    <t>5500 Verkehrsgruppe</t>
  </si>
  <si>
    <t>5600 AudiMin AG</t>
  </si>
  <si>
    <t>6300 RSB</t>
  </si>
  <si>
    <t>7600 fclr</t>
  </si>
  <si>
    <t>8200 Beratung</t>
  </si>
  <si>
    <t>8300 Fahrradwerkstatt</t>
  </si>
  <si>
    <t>Ergebnis 2020</t>
  </si>
  <si>
    <t>SB Fahrradverleih</t>
  </si>
  <si>
    <t>Eingabefelder orange hinterlegt</t>
  </si>
  <si>
    <t>Höhe einer AE:</t>
  </si>
  <si>
    <t>(siehe auch Stellenplan am Ende)</t>
  </si>
  <si>
    <t>Beiträge WiSe 21/22</t>
  </si>
  <si>
    <t>Beiträge SoSe 22</t>
  </si>
  <si>
    <t>Beiträge WiSe 22/23</t>
  </si>
  <si>
    <t>WiSe 21/22</t>
  </si>
  <si>
    <t>SoSe 22</t>
  </si>
  <si>
    <t>WiSe 22/23</t>
  </si>
  <si>
    <t>spalten müssen noch umbenannt werden</t>
  </si>
  <si>
    <t>Ansatz 2022</t>
  </si>
  <si>
    <t>Ansatz 2021</t>
  </si>
  <si>
    <t>E 2000</t>
  </si>
  <si>
    <t>E 3000</t>
  </si>
  <si>
    <t>3334 CarSharing</t>
  </si>
  <si>
    <t>3000 sonstige Angebote</t>
  </si>
  <si>
    <t>Summe 3000 sonstige Angebote</t>
  </si>
  <si>
    <t>Summe 4000 Personal</t>
  </si>
  <si>
    <t>Summe 2000 Sozialdarlehen</t>
  </si>
  <si>
    <t>5400 Freie Projekte</t>
  </si>
  <si>
    <t>5100 Allg. Verwaltung</t>
  </si>
  <si>
    <t>5600 AudiMin</t>
  </si>
  <si>
    <t>6600 IafRFLT</t>
  </si>
  <si>
    <t>7200 AG Café Exil</t>
  </si>
  <si>
    <t>7900 Anaconda</t>
  </si>
  <si>
    <t>8200 Beratungen</t>
  </si>
  <si>
    <t>8300 Radtschlag</t>
  </si>
  <si>
    <t>2000 Sozialdarlehen</t>
  </si>
  <si>
    <t>Summe 1100 SeTi</t>
  </si>
  <si>
    <t>1000 Semesterbeiträge</t>
  </si>
  <si>
    <t>1200 SB Campusradio</t>
  </si>
  <si>
    <t>1500 Sozialbeitrag</t>
  </si>
  <si>
    <t>1600 ISR</t>
  </si>
  <si>
    <t>1700 IaRFLT</t>
  </si>
  <si>
    <t>1800 Schwur</t>
  </si>
  <si>
    <t>1900 RSB</t>
  </si>
  <si>
    <t>Summe 1100 Semesterbeiträge</t>
  </si>
  <si>
    <t>1300 Hochschulsport</t>
  </si>
  <si>
    <t>1400 Fahrradverleih</t>
  </si>
  <si>
    <t>3500 SeTi-Erstattung</t>
  </si>
  <si>
    <t>4000 Personal</t>
  </si>
  <si>
    <t>4100 + 4200</t>
  </si>
  <si>
    <t>4300 TV-L X Radtschlag</t>
  </si>
  <si>
    <t>4400 TV-L X Beratungen</t>
  </si>
  <si>
    <t>5150 Aufwandsentschädigungen</t>
  </si>
  <si>
    <t>5160 Telefon</t>
  </si>
  <si>
    <t>5170 Infomedien</t>
  </si>
  <si>
    <t>5180 ext. Verpflichtungen</t>
  </si>
  <si>
    <t>5190 Sachmittel</t>
  </si>
  <si>
    <t>5250 Aufwandsentschädigungen</t>
  </si>
  <si>
    <t>5290 Sachmittel</t>
  </si>
  <si>
    <t>5350 Aufwandsentschädigungen</t>
  </si>
  <si>
    <t>5370 Infomedien</t>
  </si>
  <si>
    <t>5380 ext. Verpflichtungen</t>
  </si>
  <si>
    <t>5390 Sachmittel</t>
  </si>
  <si>
    <t>5450 Aufwandsentschädigungen</t>
  </si>
  <si>
    <t>5480 ext. Verpflichtungen</t>
  </si>
  <si>
    <t>5490 Sachmittel</t>
  </si>
  <si>
    <t>0 Finanzverwaltung</t>
  </si>
  <si>
    <t>0100 Überschuss</t>
  </si>
  <si>
    <t>0200 Kontoführung</t>
  </si>
  <si>
    <t>0300 Rücklagen</t>
  </si>
  <si>
    <t>0400 Steuern</t>
  </si>
  <si>
    <t>Summe 0000 Finanzverwaltung</t>
  </si>
  <si>
    <t>0500 Pfandkasse</t>
  </si>
  <si>
    <t>A 10</t>
  </si>
  <si>
    <t>Summe 7000 AStA-Agen</t>
  </si>
  <si>
    <t>5550 Aufwandsentschädigungen</t>
  </si>
  <si>
    <t>5580 ext. Verpflichtungen</t>
  </si>
  <si>
    <t>5590 Sachmittel</t>
  </si>
  <si>
    <t>5650 Aufwandsentschädigungen</t>
  </si>
  <si>
    <t>5660 Telefon</t>
  </si>
  <si>
    <t>5670 Infomedien</t>
  </si>
  <si>
    <t>5680 ext. Verpflichtungen</t>
  </si>
  <si>
    <t>5690 Sachmittel</t>
  </si>
  <si>
    <t>5850 Aufwandsentschädigungen</t>
  </si>
  <si>
    <t>5860 Telefon</t>
  </si>
  <si>
    <t>5870 Infomedien</t>
  </si>
  <si>
    <t>5880 ext. Verpflichtungen</t>
  </si>
  <si>
    <t>5890 Sachmittel</t>
  </si>
  <si>
    <t>6350 Aufwandsentschädigungen</t>
  </si>
  <si>
    <t>6370 Infomedien</t>
  </si>
  <si>
    <t>6380 ext. Verpflichtungen</t>
  </si>
  <si>
    <t>6390 Sachmittel</t>
  </si>
  <si>
    <t>6550 Aufwandsentschädigungen</t>
  </si>
  <si>
    <t>6570 Infomedien</t>
  </si>
  <si>
    <t>6580 ext. Verpflichtungen</t>
  </si>
  <si>
    <t>6590 Sachmittel</t>
  </si>
  <si>
    <t>6650 Aufwandsentschädigungen</t>
  </si>
  <si>
    <t>6670 Infomedien</t>
  </si>
  <si>
    <t>6680 ext. Verpflichtungen</t>
  </si>
  <si>
    <t>6690 Sachmittel</t>
  </si>
  <si>
    <t>6750 Aufwandsentschädigungen</t>
  </si>
  <si>
    <t>6770 Infomedien</t>
  </si>
  <si>
    <t>6780 ext. Verpflichtungen</t>
  </si>
  <si>
    <t>6790 Sachmittel</t>
  </si>
  <si>
    <t>7150 Aufwandsentschädigungen</t>
  </si>
  <si>
    <t>7170 Infomedien</t>
  </si>
  <si>
    <t>7180 ext. Verpflichtungen</t>
  </si>
  <si>
    <t>7190 Sachmittel</t>
  </si>
  <si>
    <t>7250 Aufwandsentschädigungen</t>
  </si>
  <si>
    <t>7270 Infomedien</t>
  </si>
  <si>
    <t>7280 ext. Verpflichtungen</t>
  </si>
  <si>
    <t>7290 Sachmittel</t>
  </si>
  <si>
    <t>7350 Aufwandsentschädigungen</t>
  </si>
  <si>
    <t>7370 Infomedien</t>
  </si>
  <si>
    <t>7380 ext. Verpflichtungen</t>
  </si>
  <si>
    <t>7390 Sachmittel</t>
  </si>
  <si>
    <t>7650 Aufwandsentschädigungen</t>
  </si>
  <si>
    <t>7670 Infomedien</t>
  </si>
  <si>
    <t>7680 ext. Verpflichtungen</t>
  </si>
  <si>
    <t>7690 Sachmittel</t>
  </si>
  <si>
    <t>7750 Aufwandsentschädigungen</t>
  </si>
  <si>
    <t>7770 Infomedien</t>
  </si>
  <si>
    <t>7780 ext. Verpflichtungen</t>
  </si>
  <si>
    <t>7790 Sachmittel</t>
  </si>
  <si>
    <t>7850 Aufwandsentschädigungen</t>
  </si>
  <si>
    <t>7870 Infomedien</t>
  </si>
  <si>
    <t>7880 ext. Verpflichtungen</t>
  </si>
  <si>
    <t>7890 Sachmittel</t>
  </si>
  <si>
    <t>7950 Aufwandsentschädigungen</t>
  </si>
  <si>
    <t>7970 Infomedien</t>
  </si>
  <si>
    <t>7980 ext. Verpflichtungen</t>
  </si>
  <si>
    <t>7990 Sachmittel</t>
  </si>
  <si>
    <t>Ergebnis</t>
  </si>
  <si>
    <t>Summe 7200 AG Café Exil/AGfB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</si>
</sst>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&quot; &quot;[$€-407];[Red]&quot;-&quot;#,##0.00&quot; &quot;[$€-407]"/>
    <numFmt numFmtId="165" formatCode="[&gt;=0]#,##0.00&quot; &quot;;[Red][&lt;0]&quot;-&quot;#,##0.00&quot; &quot;;"/>
    <numFmt numFmtId="166" formatCode="[&gt;=0]#,##0.00;[Red][&lt;0]&quot;-&quot;#,##0.00;"/>
    <numFmt numFmtId="167" formatCode="#,##0.00\ &quot;€&quot;"/>
  </numFmts>
  <fonts count="10"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1"/>
      <color theme="1"/>
      <name val="Courier New1"/>
    </font>
    <font>
      <sz val="10.5"/>
      <color rgb="FF000000"/>
      <name val="Courier New"/>
      <family val="3"/>
    </font>
    <font>
      <sz val="11"/>
      <color theme="1"/>
      <name val="Liberation Sans"/>
      <family val="2"/>
    </font>
    <font>
      <sz val="11"/>
      <color rgb="FF3F3F76"/>
      <name val="Calibri"/>
      <family val="2"/>
      <scheme val="minor"/>
    </font>
    <font>
      <b/>
      <sz val="11"/>
      <color theme="1"/>
      <name val="Liberation Sans"/>
      <family val="2"/>
    </font>
    <font>
      <b/>
      <sz val="11"/>
      <color theme="1"/>
      <name val="Courier New1"/>
    </font>
    <font>
      <b/>
      <u/>
      <sz val="11"/>
      <color theme="1"/>
      <name val="Courier New1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5" fillId="0" borderId="0" applyFont="0" applyFill="0" applyBorder="0" applyAlignment="0" applyProtection="0"/>
    <xf numFmtId="0" fontId="6" fillId="2" borderId="3" applyNumberFormat="0" applyAlignment="0" applyProtection="0"/>
  </cellStyleXfs>
  <cellXfs count="55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165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7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7" fontId="0" fillId="0" borderId="2" xfId="0" applyNumberFormat="1" applyBorder="1"/>
    <xf numFmtId="164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/>
    <xf numFmtId="167" fontId="3" fillId="0" borderId="2" xfId="0" applyNumberFormat="1" applyFont="1" applyBorder="1" applyAlignment="1"/>
    <xf numFmtId="164" fontId="3" fillId="0" borderId="2" xfId="0" applyNumberFormat="1" applyFont="1" applyBorder="1"/>
    <xf numFmtId="0" fontId="4" fillId="0" borderId="0" xfId="5" applyNumberFormat="1" applyFont="1" applyFill="1" applyBorder="1" applyAlignment="1" applyProtection="1">
      <alignment vertical="center"/>
    </xf>
    <xf numFmtId="12" fontId="0" fillId="0" borderId="0" xfId="0" applyNumberFormat="1" applyAlignment="1">
      <alignment horizontal="left" indent="6"/>
    </xf>
    <xf numFmtId="0" fontId="6" fillId="2" borderId="3" xfId="6"/>
    <xf numFmtId="0" fontId="3" fillId="0" borderId="2" xfId="0" applyFont="1" applyBorder="1"/>
    <xf numFmtId="49" fontId="3" fillId="0" borderId="2" xfId="0" applyNumberFormat="1" applyFont="1" applyBorder="1"/>
    <xf numFmtId="167" fontId="3" fillId="0" borderId="2" xfId="5" applyNumberFormat="1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12" fontId="6" fillId="2" borderId="3" xfId="6" applyNumberFormat="1" applyAlignment="1">
      <alignment horizontal="center"/>
    </xf>
    <xf numFmtId="167" fontId="3" fillId="0" borderId="2" xfId="0" applyNumberFormat="1" applyFont="1" applyFill="1" applyBorder="1"/>
    <xf numFmtId="164" fontId="3" fillId="0" borderId="2" xfId="0" applyNumberFormat="1" applyFont="1" applyFill="1" applyBorder="1"/>
    <xf numFmtId="167" fontId="0" fillId="0" borderId="2" xfId="5" applyNumberFormat="1" applyFont="1" applyBorder="1"/>
    <xf numFmtId="0" fontId="8" fillId="0" borderId="2" xfId="0" applyFont="1" applyBorder="1"/>
    <xf numFmtId="164" fontId="8" fillId="0" borderId="2" xfId="0" applyNumberFormat="1" applyFont="1" applyBorder="1"/>
    <xf numFmtId="167" fontId="8" fillId="0" borderId="2" xfId="0" applyNumberFormat="1" applyFont="1" applyBorder="1"/>
    <xf numFmtId="164" fontId="8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/>
    <xf numFmtId="164" fontId="8" fillId="0" borderId="2" xfId="0" applyNumberFormat="1" applyFont="1" applyBorder="1" applyAlignment="1"/>
    <xf numFmtId="49" fontId="8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167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164" fontId="0" fillId="0" borderId="2" xfId="0" applyNumberFormat="1" applyBorder="1"/>
    <xf numFmtId="167" fontId="7" fillId="0" borderId="2" xfId="0" applyNumberFormat="1" applyFont="1" applyBorder="1" applyAlignment="1">
      <alignment horizontal="center"/>
    </xf>
    <xf numFmtId="167" fontId="8" fillId="0" borderId="2" xfId="5" applyNumberFormat="1" applyFont="1" applyBorder="1"/>
    <xf numFmtId="167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/>
    <xf numFmtId="0" fontId="9" fillId="0" borderId="2" xfId="0" applyFont="1" applyFill="1" applyBorder="1"/>
    <xf numFmtId="44" fontId="7" fillId="0" borderId="2" xfId="5" applyFont="1" applyBorder="1"/>
    <xf numFmtId="0" fontId="8" fillId="0" borderId="2" xfId="0" applyFont="1" applyFill="1" applyBorder="1"/>
    <xf numFmtId="0" fontId="7" fillId="0" borderId="2" xfId="0" applyFont="1" applyBorder="1"/>
    <xf numFmtId="164" fontId="7" fillId="0" borderId="2" xfId="5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4" fontId="0" fillId="0" borderId="0" xfId="5" applyFont="1"/>
  </cellXfs>
  <cellStyles count="7">
    <cellStyle name="Eingabe" xfId="6" builtinId="20"/>
    <cellStyle name="Heading" xfId="1"/>
    <cellStyle name="Heading1" xfId="2"/>
    <cellStyle name="Result" xfId="3"/>
    <cellStyle name="Result2" xfId="4"/>
    <cellStyle name="Standard" xfId="0" builtinId="0" customBuiltin="1"/>
    <cellStyle name="Währung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opLeftCell="A2" workbookViewId="0">
      <selection activeCell="H20" sqref="H20"/>
    </sheetView>
  </sheetViews>
  <sheetFormatPr baseColWidth="10" defaultRowHeight="14.25"/>
  <cols>
    <col min="1" max="1" width="10.625" customWidth="1"/>
    <col min="2" max="2" width="29" customWidth="1"/>
    <col min="3" max="3" width="15" customWidth="1"/>
    <col min="4" max="4" width="14.75" customWidth="1"/>
    <col min="5" max="5" width="17.5" customWidth="1"/>
    <col min="6" max="8" width="20.875" customWidth="1"/>
  </cols>
  <sheetData>
    <row r="2" spans="2:8">
      <c r="B2" t="s">
        <v>195</v>
      </c>
    </row>
    <row r="3" spans="2:8">
      <c r="B3" t="s">
        <v>0</v>
      </c>
      <c r="C3" t="s">
        <v>1</v>
      </c>
      <c r="D3" t="s">
        <v>2</v>
      </c>
      <c r="F3" t="s">
        <v>63</v>
      </c>
      <c r="G3" t="s">
        <v>64</v>
      </c>
      <c r="H3" t="s">
        <v>65</v>
      </c>
    </row>
    <row r="4" spans="2:8" ht="15">
      <c r="B4" s="21" t="s">
        <v>184</v>
      </c>
      <c r="C4" s="21" t="s">
        <v>196</v>
      </c>
      <c r="D4" s="21" t="s">
        <v>197</v>
      </c>
      <c r="F4" s="21" t="s">
        <v>189</v>
      </c>
      <c r="G4" s="21" t="s">
        <v>190</v>
      </c>
      <c r="H4" s="21" t="s">
        <v>191</v>
      </c>
    </row>
    <row r="5" spans="2:8" ht="15">
      <c r="E5" t="s">
        <v>3</v>
      </c>
      <c r="F5" s="21">
        <v>150.54</v>
      </c>
      <c r="G5" s="21">
        <v>150.54</v>
      </c>
      <c r="H5" s="21">
        <v>150.54</v>
      </c>
    </row>
    <row r="6" spans="2:8" ht="15">
      <c r="E6" t="s">
        <v>4</v>
      </c>
      <c r="F6" s="21">
        <v>57.4</v>
      </c>
      <c r="G6" s="21">
        <v>57.4</v>
      </c>
      <c r="H6" s="21">
        <v>57.4</v>
      </c>
    </row>
    <row r="7" spans="2:8" ht="15">
      <c r="E7" t="s">
        <v>5</v>
      </c>
      <c r="F7" s="21">
        <v>1.1000000000000001</v>
      </c>
      <c r="G7" s="21">
        <v>1.1000000000000001</v>
      </c>
      <c r="H7" s="21">
        <v>1.1000000000000001</v>
      </c>
    </row>
    <row r="8" spans="2:8" ht="15">
      <c r="E8" t="s">
        <v>6</v>
      </c>
      <c r="F8" s="21">
        <v>1.5</v>
      </c>
      <c r="G8" s="21">
        <v>1.5</v>
      </c>
      <c r="H8" s="21">
        <v>1.5</v>
      </c>
    </row>
    <row r="9" spans="2:8" ht="15">
      <c r="E9" t="s">
        <v>185</v>
      </c>
      <c r="F9" s="21">
        <v>1.25</v>
      </c>
      <c r="G9" s="21">
        <v>1.25</v>
      </c>
      <c r="H9" s="21">
        <v>1.25</v>
      </c>
    </row>
    <row r="10" spans="2:8" ht="15">
      <c r="B10" t="s">
        <v>7</v>
      </c>
      <c r="C10" s="21">
        <v>25500</v>
      </c>
      <c r="E10" t="s">
        <v>8</v>
      </c>
      <c r="F10" s="21">
        <v>11.66</v>
      </c>
      <c r="G10" s="21">
        <v>11.66</v>
      </c>
      <c r="H10" s="21">
        <v>11.66</v>
      </c>
    </row>
    <row r="11" spans="2:8" ht="15">
      <c r="E11" t="s">
        <v>9</v>
      </c>
      <c r="F11" s="21">
        <v>0.71</v>
      </c>
      <c r="G11" s="21">
        <v>0.71</v>
      </c>
      <c r="H11" s="21">
        <v>0.71</v>
      </c>
    </row>
    <row r="13" spans="2:8">
      <c r="F13" t="s">
        <v>63</v>
      </c>
      <c r="G13" t="s">
        <v>64</v>
      </c>
      <c r="H13" t="s">
        <v>65</v>
      </c>
    </row>
    <row r="14" spans="2:8">
      <c r="F14" t="s">
        <v>192</v>
      </c>
      <c r="G14" t="s">
        <v>193</v>
      </c>
      <c r="H14" t="s">
        <v>194</v>
      </c>
    </row>
    <row r="15" spans="2:8">
      <c r="E15" t="s">
        <v>3</v>
      </c>
      <c r="F15" s="1">
        <f t="shared" ref="F15:H19" si="0">F5*$C$10</f>
        <v>3838770</v>
      </c>
      <c r="G15" s="1">
        <f t="shared" si="0"/>
        <v>3838770</v>
      </c>
      <c r="H15" s="1">
        <f t="shared" si="0"/>
        <v>3838770</v>
      </c>
    </row>
    <row r="16" spans="2:8">
      <c r="E16" t="s">
        <v>4</v>
      </c>
      <c r="F16" s="1">
        <f t="shared" si="0"/>
        <v>1463700</v>
      </c>
      <c r="G16" s="1">
        <f t="shared" si="0"/>
        <v>1463700</v>
      </c>
      <c r="H16" s="1">
        <f t="shared" si="0"/>
        <v>1463700</v>
      </c>
    </row>
    <row r="17" spans="2:8">
      <c r="E17" t="s">
        <v>5</v>
      </c>
      <c r="F17" s="1">
        <f t="shared" si="0"/>
        <v>28050.000000000004</v>
      </c>
      <c r="G17" s="1">
        <f t="shared" si="0"/>
        <v>28050.000000000004</v>
      </c>
      <c r="H17" s="1">
        <f t="shared" si="0"/>
        <v>28050.000000000004</v>
      </c>
    </row>
    <row r="18" spans="2:8" ht="15">
      <c r="B18" s="21" t="s">
        <v>186</v>
      </c>
      <c r="E18" t="s">
        <v>6</v>
      </c>
      <c r="F18" s="1">
        <f t="shared" si="0"/>
        <v>38250</v>
      </c>
      <c r="G18" s="1">
        <f t="shared" si="0"/>
        <v>38250</v>
      </c>
      <c r="H18" s="1">
        <f t="shared" si="0"/>
        <v>38250</v>
      </c>
    </row>
    <row r="19" spans="2:8">
      <c r="B19" t="s">
        <v>188</v>
      </c>
      <c r="E19" t="s">
        <v>185</v>
      </c>
      <c r="F19" s="1">
        <f t="shared" si="0"/>
        <v>31875</v>
      </c>
      <c r="G19" s="1">
        <f t="shared" si="0"/>
        <v>31875</v>
      </c>
      <c r="H19" s="1">
        <f t="shared" si="0"/>
        <v>31875</v>
      </c>
    </row>
    <row r="20" spans="2:8">
      <c r="E20" t="s">
        <v>8</v>
      </c>
      <c r="F20" s="1">
        <f t="shared" ref="F20:H21" si="1">F10*$C$10</f>
        <v>297330</v>
      </c>
      <c r="G20" s="1">
        <f t="shared" si="1"/>
        <v>297330</v>
      </c>
      <c r="H20" s="1">
        <f t="shared" si="1"/>
        <v>297330</v>
      </c>
    </row>
    <row r="21" spans="2:8">
      <c r="E21" t="s">
        <v>9</v>
      </c>
      <c r="F21" s="1">
        <f t="shared" si="1"/>
        <v>18105</v>
      </c>
      <c r="G21" s="1">
        <f t="shared" si="1"/>
        <v>18105</v>
      </c>
      <c r="H21" s="1">
        <f t="shared" si="1"/>
        <v>18105</v>
      </c>
    </row>
    <row r="24" spans="2:8">
      <c r="C24">
        <f>Einstellungen!10:10</f>
        <v>25500</v>
      </c>
    </row>
  </sheetData>
  <pageMargins left="0" right="0" top="0.39370078740157477" bottom="0.39370078740157477" header="0" footer="0"/>
  <pageSetup paperSize="9" scale="75" fitToWidth="0" fitToHeight="0" pageOrder="overThenDown" orientation="landscape" useFirstPageNumber="1" r:id="rId1"/>
  <headerFooter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22" workbookViewId="0">
      <selection activeCell="C24" sqref="C24"/>
    </sheetView>
  </sheetViews>
  <sheetFormatPr baseColWidth="10" defaultRowHeight="14.25"/>
  <cols>
    <col min="1" max="1" width="29.625" customWidth="1"/>
    <col min="2" max="2" width="25" customWidth="1"/>
    <col min="3" max="4" width="19" customWidth="1"/>
    <col min="5" max="5" width="10.625" customWidth="1"/>
    <col min="6" max="8" width="19" customWidth="1"/>
    <col min="9" max="9" width="10.625" customWidth="1"/>
    <col min="10" max="12" width="19" customWidth="1"/>
    <col min="13" max="14" width="10.625" customWidth="1"/>
  </cols>
  <sheetData>
    <row r="1" spans="1:14">
      <c r="B1" s="52" t="s">
        <v>10</v>
      </c>
      <c r="C1" s="52"/>
      <c r="D1" s="52"/>
      <c r="E1" s="12"/>
      <c r="F1" s="52" t="s">
        <v>11</v>
      </c>
      <c r="G1" s="52"/>
      <c r="H1" s="52"/>
      <c r="J1" s="52"/>
      <c r="K1" s="52"/>
      <c r="L1" s="52"/>
      <c r="M1" s="3"/>
      <c r="N1" s="3"/>
    </row>
    <row r="2" spans="1:14">
      <c r="A2" s="3"/>
      <c r="B2" s="3" t="str">
        <f>Einstellungen!B4</f>
        <v>Ergebnis 2020</v>
      </c>
      <c r="C2" s="3" t="str">
        <f>Einstellungen!C4</f>
        <v>Ansatz 2022</v>
      </c>
      <c r="D2" s="3" t="str">
        <f>Einstellungen!D4</f>
        <v>Ansatz 2021</v>
      </c>
      <c r="E2" s="12"/>
      <c r="F2" s="3" t="str">
        <f>$B$2</f>
        <v>Ergebnis 2020</v>
      </c>
      <c r="G2" s="3" t="str">
        <f>$C$2</f>
        <v>Ansatz 2022</v>
      </c>
      <c r="H2" s="3" t="str">
        <f>$D$2</f>
        <v>Ansatz 2021</v>
      </c>
      <c r="I2" s="3"/>
      <c r="J2" s="3"/>
      <c r="K2" s="3"/>
      <c r="L2" s="3"/>
      <c r="M2" s="3"/>
      <c r="N2" s="3"/>
    </row>
    <row r="3" spans="1:14" ht="15">
      <c r="A3" s="32" t="s">
        <v>215</v>
      </c>
      <c r="B3" s="22"/>
      <c r="C3" s="22"/>
      <c r="D3" s="22"/>
      <c r="E3" s="26" t="s">
        <v>251</v>
      </c>
      <c r="F3" s="22"/>
      <c r="G3" s="22"/>
      <c r="H3" s="22"/>
      <c r="M3" s="3"/>
      <c r="N3" s="3"/>
    </row>
    <row r="4" spans="1:14">
      <c r="A4" s="22" t="str">
        <f>"1111 Rückstellung "&amp;Einstellungen!$F$14</f>
        <v>1111 Rückstellung WiSe 21/22</v>
      </c>
      <c r="B4" s="16">
        <v>2508375.02</v>
      </c>
      <c r="C4" s="16">
        <f>SUM((Einstellungen!F15+Einstellungen!F16)/2)</f>
        <v>2651235</v>
      </c>
      <c r="D4" s="31">
        <v>0</v>
      </c>
      <c r="E4" s="15"/>
      <c r="F4" s="13">
        <v>68561.94</v>
      </c>
      <c r="G4" s="13">
        <v>0</v>
      </c>
      <c r="H4" s="13">
        <v>0</v>
      </c>
      <c r="M4" s="3"/>
      <c r="N4" s="3"/>
    </row>
    <row r="5" spans="1:14">
      <c r="A5" s="22" t="str">
        <f>"1112 Beiträge "&amp;Einstellungen!$F$14</f>
        <v>1112 Beiträge WiSe 21/22</v>
      </c>
      <c r="B5" s="16">
        <v>17305.8</v>
      </c>
      <c r="C5" s="16">
        <v>0</v>
      </c>
      <c r="D5" s="31">
        <v>2597047.5</v>
      </c>
      <c r="E5" s="15"/>
      <c r="F5" s="16">
        <v>2455073.08</v>
      </c>
      <c r="G5" s="16">
        <f>C4</f>
        <v>2651235</v>
      </c>
      <c r="H5" s="16">
        <v>2597047.5</v>
      </c>
      <c r="M5" s="3"/>
      <c r="N5" s="3"/>
    </row>
    <row r="6" spans="1:14">
      <c r="A6" s="22" t="str">
        <f>"1113 Erstattung "&amp;Einstellungen!F14</f>
        <v>1113 Erstattung WiSe 21/22</v>
      </c>
      <c r="B6" s="16">
        <v>0</v>
      </c>
      <c r="C6" s="16">
        <v>0</v>
      </c>
      <c r="D6" s="31">
        <v>0</v>
      </c>
      <c r="E6" s="15"/>
      <c r="F6" s="16">
        <v>2045.8</v>
      </c>
      <c r="G6" s="16">
        <v>0</v>
      </c>
      <c r="H6" s="29">
        <v>0</v>
      </c>
      <c r="M6" s="3"/>
      <c r="N6" s="3"/>
    </row>
    <row r="7" spans="1:14">
      <c r="A7" s="22" t="str">
        <f>"1121 Rückstellung "&amp;Einstellungen!$G$14</f>
        <v>1121 Rückstellung SoSe 22</v>
      </c>
      <c r="B7" s="16">
        <v>2326476.08</v>
      </c>
      <c r="C7" s="16">
        <v>0</v>
      </c>
      <c r="D7" s="31">
        <v>0</v>
      </c>
      <c r="E7" s="15"/>
      <c r="F7" s="13">
        <v>148163.07</v>
      </c>
      <c r="G7" s="13">
        <v>0</v>
      </c>
      <c r="H7" s="29">
        <v>0</v>
      </c>
      <c r="M7" s="3"/>
      <c r="N7" s="3"/>
    </row>
    <row r="8" spans="1:14">
      <c r="A8" s="22" t="str">
        <f>"1122 Beiträge "&amp;Einstellungen!$G$14</f>
        <v>1122 Beiträge SoSe 22</v>
      </c>
      <c r="B8" s="13">
        <v>4859074.9000000004</v>
      </c>
      <c r="C8" s="16">
        <f>Einstellungen!G15+Einstellungen!G16</f>
        <v>5302470</v>
      </c>
      <c r="D8" s="31">
        <v>5247645</v>
      </c>
      <c r="E8" s="15"/>
      <c r="F8" s="16">
        <v>7029019.7699999996</v>
      </c>
      <c r="G8" s="16">
        <f>C8</f>
        <v>5302470</v>
      </c>
      <c r="H8" s="16">
        <v>5247645</v>
      </c>
      <c r="M8" s="3"/>
      <c r="N8" s="3"/>
    </row>
    <row r="9" spans="1:14">
      <c r="A9" s="22" t="str">
        <f>"1123 Erstattung "&amp;Einstellungen!G14</f>
        <v>1123 Erstattung SoSe 22</v>
      </c>
      <c r="B9" s="16">
        <v>0</v>
      </c>
      <c r="C9" s="16">
        <v>0</v>
      </c>
      <c r="D9" s="24">
        <v>0</v>
      </c>
      <c r="E9" s="15"/>
      <c r="F9" s="16">
        <v>8368.14</v>
      </c>
      <c r="G9" s="16">
        <v>0</v>
      </c>
      <c r="H9" s="16">
        <v>0</v>
      </c>
      <c r="M9" s="3"/>
      <c r="N9" s="3"/>
    </row>
    <row r="10" spans="1:14">
      <c r="A10" s="22" t="str">
        <f>"1131 Rückstellung "&amp;Einstellungen!$H$14</f>
        <v>1131 Rückstellung WiSe 22/23</v>
      </c>
      <c r="B10" s="16">
        <v>0</v>
      </c>
      <c r="C10" s="16">
        <v>0</v>
      </c>
      <c r="D10" s="31">
        <v>0</v>
      </c>
      <c r="E10" s="15"/>
      <c r="F10" s="16">
        <v>2515333.9</v>
      </c>
      <c r="G10" s="16">
        <v>0</v>
      </c>
      <c r="H10" s="13">
        <v>2623822.5</v>
      </c>
      <c r="M10" s="3"/>
      <c r="N10" s="3"/>
    </row>
    <row r="11" spans="1:14">
      <c r="A11" s="22" t="str">
        <f>"1132 Beiträge "&amp;Einstellungen!$H$14</f>
        <v>1132 Beiträge WiSe 22/23</v>
      </c>
      <c r="B11" s="16">
        <v>5123478.3899999997</v>
      </c>
      <c r="C11" s="16">
        <f>(Einstellungen!H15+Einstellungen!H16)/2</f>
        <v>2651235</v>
      </c>
      <c r="D11" s="31">
        <v>5247645</v>
      </c>
      <c r="E11" s="15"/>
      <c r="F11" s="16">
        <v>2597047.5</v>
      </c>
      <c r="G11" s="16">
        <v>2651235</v>
      </c>
      <c r="H11" s="13">
        <v>2623822.5</v>
      </c>
      <c r="M11" s="3"/>
      <c r="N11" s="3"/>
    </row>
    <row r="12" spans="1:14">
      <c r="A12" s="22" t="str">
        <f>"1133 Erstattung "&amp;Einstellungen!H14</f>
        <v>1133 Erstattung WiSe 22/23</v>
      </c>
      <c r="B12" s="16">
        <v>0</v>
      </c>
      <c r="C12" s="16">
        <v>0</v>
      </c>
      <c r="D12" s="24">
        <v>0</v>
      </c>
      <c r="E12" s="15"/>
      <c r="F12" s="16">
        <v>11096.99</v>
      </c>
      <c r="G12" s="16">
        <v>0</v>
      </c>
      <c r="H12" s="16">
        <v>0</v>
      </c>
      <c r="M12" s="3"/>
      <c r="N12" s="3"/>
    </row>
    <row r="13" spans="1:14" ht="15">
      <c r="A13" s="32" t="s">
        <v>214</v>
      </c>
      <c r="B13" s="34">
        <f>SUM(B4:B12)</f>
        <v>14834710.190000001</v>
      </c>
      <c r="C13" s="34">
        <f>SUM(C4:C12)</f>
        <v>10604940</v>
      </c>
      <c r="D13" s="44">
        <f>SUM(D4:D12)</f>
        <v>13092337.5</v>
      </c>
      <c r="E13" s="45"/>
      <c r="F13" s="34">
        <f>SUM(F4:F12)</f>
        <v>14834710.190000001</v>
      </c>
      <c r="G13" s="34">
        <f>SUM(G4:G12)</f>
        <v>10604940</v>
      </c>
      <c r="H13" s="34">
        <f>SUM(H4:H12)</f>
        <v>13092337.5</v>
      </c>
      <c r="M13" s="3"/>
      <c r="N13" s="3"/>
    </row>
    <row r="14" spans="1:14">
      <c r="A14" s="22" t="s">
        <v>216</v>
      </c>
      <c r="B14" s="29">
        <v>119700.89</v>
      </c>
      <c r="C14" s="16">
        <f>SUM(14025,28050,28050)</f>
        <v>70125</v>
      </c>
      <c r="D14" s="16">
        <v>70125</v>
      </c>
      <c r="E14" s="15" t="s">
        <v>79</v>
      </c>
      <c r="F14" s="16">
        <v>119700.89</v>
      </c>
      <c r="G14" s="16">
        <f>C14</f>
        <v>70125</v>
      </c>
      <c r="H14" s="16">
        <v>70125</v>
      </c>
      <c r="M14" s="3"/>
      <c r="N14" s="3"/>
    </row>
    <row r="15" spans="1:14">
      <c r="A15" s="22" t="s">
        <v>223</v>
      </c>
      <c r="B15" s="30">
        <v>54684.73</v>
      </c>
      <c r="C15" s="16">
        <f>SUM(38250/2,38250,38250)</f>
        <v>95625</v>
      </c>
      <c r="D15" s="18">
        <v>95625</v>
      </c>
      <c r="E15" s="26" t="s">
        <v>80</v>
      </c>
      <c r="F15" s="18">
        <v>75600</v>
      </c>
      <c r="G15" s="18">
        <f>C15</f>
        <v>95625</v>
      </c>
      <c r="H15" s="18">
        <v>95625</v>
      </c>
      <c r="M15" s="3"/>
      <c r="N15" s="3"/>
    </row>
    <row r="16" spans="1:14">
      <c r="A16" s="22" t="s">
        <v>224</v>
      </c>
      <c r="B16" s="30"/>
      <c r="C16" s="16">
        <f>SUM(31875/2,31875,31875)</f>
        <v>79687.5</v>
      </c>
      <c r="D16" s="18">
        <v>0</v>
      </c>
      <c r="E16" s="26" t="s">
        <v>81</v>
      </c>
      <c r="F16" s="18">
        <v>0</v>
      </c>
      <c r="G16" s="18">
        <f>C16</f>
        <v>79687.5</v>
      </c>
      <c r="H16" s="18"/>
      <c r="M16" s="3"/>
      <c r="N16" s="3"/>
    </row>
    <row r="17" spans="1:14">
      <c r="A17" s="22" t="s">
        <v>217</v>
      </c>
      <c r="B17" s="30">
        <v>770063.17</v>
      </c>
      <c r="C17" s="16">
        <f>SUM(297330/2,297330,297330)</f>
        <v>743325</v>
      </c>
      <c r="D17" s="18">
        <v>756075</v>
      </c>
      <c r="E17" s="26" t="s">
        <v>82</v>
      </c>
      <c r="F17" s="18">
        <v>159132.26999999999</v>
      </c>
      <c r="G17" s="18">
        <f>SUM(Einstellungen!H20/2)</f>
        <v>148665</v>
      </c>
      <c r="H17" s="18">
        <v>148665</v>
      </c>
      <c r="M17" s="3"/>
      <c r="N17" s="3"/>
    </row>
    <row r="18" spans="1:14">
      <c r="A18" s="22" t="s">
        <v>218</v>
      </c>
      <c r="B18" s="30">
        <v>44147.44</v>
      </c>
      <c r="C18" s="16">
        <f>SUM(18105/2,18105,18105)</f>
        <v>45262.5</v>
      </c>
      <c r="D18" s="18">
        <v>45262.5</v>
      </c>
      <c r="E18" s="26" t="s">
        <v>83</v>
      </c>
      <c r="F18" s="18">
        <v>8917.25</v>
      </c>
      <c r="G18" s="18">
        <v>9052.5</v>
      </c>
      <c r="H18" s="18">
        <v>9052.5</v>
      </c>
      <c r="M18" s="3"/>
      <c r="N18" s="3"/>
    </row>
    <row r="19" spans="1:14">
      <c r="A19" s="22" t="s">
        <v>219</v>
      </c>
      <c r="B19" s="30">
        <v>44147.44</v>
      </c>
      <c r="C19" s="16">
        <f t="shared" ref="C19:C21" si="0">SUM(18105/2,18105,18105)</f>
        <v>45262.5</v>
      </c>
      <c r="D19" s="18">
        <v>45262.5</v>
      </c>
      <c r="E19" s="26" t="s">
        <v>84</v>
      </c>
      <c r="F19" s="18">
        <v>8917.25</v>
      </c>
      <c r="G19" s="18">
        <v>9052.5</v>
      </c>
      <c r="H19" s="18">
        <v>9052.5</v>
      </c>
      <c r="M19" s="3"/>
      <c r="N19" s="3"/>
    </row>
    <row r="20" spans="1:14">
      <c r="A20" s="22" t="s">
        <v>220</v>
      </c>
      <c r="B20" s="30">
        <v>44147.44</v>
      </c>
      <c r="C20" s="16">
        <f t="shared" si="0"/>
        <v>45262.5</v>
      </c>
      <c r="D20" s="18">
        <v>45262.5</v>
      </c>
      <c r="E20" s="26" t="s">
        <v>85</v>
      </c>
      <c r="F20" s="18">
        <v>8917.25</v>
      </c>
      <c r="G20" s="18">
        <v>9052.5</v>
      </c>
      <c r="H20" s="18">
        <v>9052.5</v>
      </c>
      <c r="M20" s="3"/>
      <c r="N20" s="3"/>
    </row>
    <row r="21" spans="1:14">
      <c r="A21" s="22" t="s">
        <v>221</v>
      </c>
      <c r="B21" s="30">
        <v>44147.44</v>
      </c>
      <c r="C21" s="16">
        <f t="shared" si="0"/>
        <v>45262.5</v>
      </c>
      <c r="D21" s="18">
        <v>45262.5</v>
      </c>
      <c r="E21" s="26" t="s">
        <v>86</v>
      </c>
      <c r="F21" s="18">
        <v>8917.25</v>
      </c>
      <c r="G21" s="18">
        <v>9052.5</v>
      </c>
      <c r="H21" s="18">
        <v>9052.5</v>
      </c>
      <c r="M21" s="3"/>
      <c r="N21" s="3"/>
    </row>
    <row r="22" spans="1:14" ht="15">
      <c r="A22" s="32" t="s">
        <v>222</v>
      </c>
      <c r="B22" s="33">
        <f>B14+B15+B16+B17+B18+B19+B20+B21</f>
        <v>1121038.5499999998</v>
      </c>
      <c r="C22" s="34">
        <f>SUM(C14:C21)</f>
        <v>1169812.5</v>
      </c>
      <c r="D22" s="33">
        <f>D14+D15+D16+D17+D18+D19+D20+D21</f>
        <v>1102875</v>
      </c>
      <c r="E22" s="35" t="s">
        <v>87</v>
      </c>
      <c r="F22" s="33">
        <f>F14+F15+F16+F17+F18+F19+F20+F21</f>
        <v>390102.16000000003</v>
      </c>
      <c r="G22" s="33">
        <f>G14+G15+G16+G17+G18+G19+G20+G21</f>
        <v>430312.5</v>
      </c>
      <c r="H22" s="33">
        <f>H14+H15+H16+H17+H18+H19+H20+H21</f>
        <v>350625</v>
      </c>
    </row>
    <row r="23" spans="1:14">
      <c r="A23" s="22" t="s">
        <v>244</v>
      </c>
      <c r="B23" s="22"/>
      <c r="C23" s="22"/>
      <c r="D23" s="22"/>
      <c r="E23" s="22"/>
      <c r="F23" s="22"/>
      <c r="G23" s="22"/>
      <c r="H23" s="22"/>
    </row>
    <row r="24" spans="1:14">
      <c r="A24" s="23" t="s">
        <v>245</v>
      </c>
      <c r="B24" s="24">
        <v>199561.18</v>
      </c>
      <c r="C24" s="54">
        <f>SUM(68665-16666+15000)</f>
        <v>66999</v>
      </c>
      <c r="D24" s="24">
        <v>0</v>
      </c>
      <c r="E24" s="25" t="s">
        <v>57</v>
      </c>
      <c r="F24" s="13">
        <v>173083.12</v>
      </c>
      <c r="G24" s="13">
        <v>0</v>
      </c>
      <c r="H24" s="16">
        <v>0</v>
      </c>
    </row>
    <row r="25" spans="1:14">
      <c r="A25" s="23" t="s">
        <v>246</v>
      </c>
      <c r="B25" s="24">
        <v>271.13</v>
      </c>
      <c r="C25" s="24">
        <v>0</v>
      </c>
      <c r="D25" s="24">
        <v>0</v>
      </c>
      <c r="E25" s="25" t="s">
        <v>58</v>
      </c>
      <c r="F25" s="16">
        <v>17329.150000000001</v>
      </c>
      <c r="G25" s="16">
        <v>17000</v>
      </c>
      <c r="H25" s="16">
        <v>12000</v>
      </c>
    </row>
    <row r="26" spans="1:14">
      <c r="A26" s="23" t="s">
        <v>247</v>
      </c>
      <c r="B26" s="24">
        <v>0</v>
      </c>
      <c r="C26" s="24">
        <v>0</v>
      </c>
      <c r="D26" s="24">
        <v>150000</v>
      </c>
      <c r="E26" s="25" t="s">
        <v>59</v>
      </c>
      <c r="F26" s="16">
        <v>0</v>
      </c>
      <c r="G26" s="16">
        <v>0</v>
      </c>
      <c r="H26" s="16">
        <v>0</v>
      </c>
    </row>
    <row r="27" spans="1:14">
      <c r="A27" s="23" t="s">
        <v>248</v>
      </c>
      <c r="B27" s="24">
        <v>0</v>
      </c>
      <c r="C27" s="24">
        <v>0</v>
      </c>
      <c r="D27" s="24">
        <v>0</v>
      </c>
      <c r="E27" s="25" t="s">
        <v>60</v>
      </c>
      <c r="F27" s="16">
        <v>0</v>
      </c>
      <c r="G27" s="16">
        <v>0</v>
      </c>
      <c r="H27" s="16">
        <v>0</v>
      </c>
    </row>
    <row r="28" spans="1:14">
      <c r="A28" s="23" t="s">
        <v>250</v>
      </c>
      <c r="B28" s="24">
        <v>100</v>
      </c>
      <c r="C28" s="24">
        <v>0</v>
      </c>
      <c r="D28" s="24">
        <v>0</v>
      </c>
      <c r="E28" s="25" t="s">
        <v>61</v>
      </c>
      <c r="F28" s="16">
        <v>100</v>
      </c>
      <c r="G28" s="16">
        <v>0</v>
      </c>
      <c r="H28" s="16">
        <v>0</v>
      </c>
    </row>
    <row r="29" spans="1:14" ht="15">
      <c r="A29" s="46" t="s">
        <v>249</v>
      </c>
      <c r="B29" s="44">
        <f>SUM(B24:B28)</f>
        <v>199932.31</v>
      </c>
      <c r="C29" s="44">
        <f>C24+C25+C26+C27+C28</f>
        <v>66999</v>
      </c>
      <c r="D29" s="44">
        <f>D24+D25+D26+D27+D28</f>
        <v>150000</v>
      </c>
      <c r="E29" s="38" t="s">
        <v>62</v>
      </c>
      <c r="F29" s="34">
        <f>F24+F25+F26+F27+F28</f>
        <v>190512.27</v>
      </c>
      <c r="G29" s="34">
        <f>G24+G25+G26+G27+G28</f>
        <v>17000</v>
      </c>
      <c r="H29" s="34">
        <f>H24+H25+H26+H27+H28</f>
        <v>12000</v>
      </c>
    </row>
    <row r="30" spans="1:14">
      <c r="A30" s="22" t="s">
        <v>213</v>
      </c>
      <c r="B30" s="22"/>
      <c r="C30" s="22"/>
      <c r="D30" s="22"/>
      <c r="E30" s="26" t="s">
        <v>198</v>
      </c>
      <c r="F30" s="22"/>
      <c r="G30" s="22"/>
      <c r="H30" s="22"/>
    </row>
    <row r="31" spans="1:14">
      <c r="A31" s="22" t="s">
        <v>67</v>
      </c>
      <c r="B31" s="18">
        <v>0</v>
      </c>
      <c r="C31" s="18">
        <v>0</v>
      </c>
      <c r="D31" s="18">
        <v>0</v>
      </c>
      <c r="E31" s="14" t="s">
        <v>75</v>
      </c>
      <c r="F31" s="18">
        <v>87844.45</v>
      </c>
      <c r="G31" s="18">
        <v>100000</v>
      </c>
      <c r="H31" s="18">
        <v>100000</v>
      </c>
    </row>
    <row r="32" spans="1:14">
      <c r="A32" s="22" t="s">
        <v>68</v>
      </c>
      <c r="B32" s="18">
        <v>68556.100000000006</v>
      </c>
      <c r="C32" s="18">
        <v>100000</v>
      </c>
      <c r="D32" s="18">
        <v>100000</v>
      </c>
      <c r="E32" s="14" t="s">
        <v>76</v>
      </c>
      <c r="F32" s="18">
        <v>106.77</v>
      </c>
      <c r="G32" s="18">
        <v>0</v>
      </c>
      <c r="H32" s="18">
        <v>0</v>
      </c>
    </row>
    <row r="33" spans="1:8">
      <c r="A33" s="22" t="s">
        <v>69</v>
      </c>
      <c r="B33" s="18">
        <v>0</v>
      </c>
      <c r="C33" s="18">
        <v>0</v>
      </c>
      <c r="D33" s="18">
        <v>0</v>
      </c>
      <c r="E33" s="14" t="s">
        <v>77</v>
      </c>
      <c r="F33" s="18">
        <v>0</v>
      </c>
      <c r="G33" s="18">
        <v>1000</v>
      </c>
      <c r="H33" s="18">
        <v>1000</v>
      </c>
    </row>
    <row r="34" spans="1:8">
      <c r="A34" s="22" t="s">
        <v>70</v>
      </c>
      <c r="B34" s="18">
        <v>0</v>
      </c>
      <c r="C34" s="18">
        <v>0</v>
      </c>
      <c r="D34" s="18">
        <v>0</v>
      </c>
      <c r="E34" s="14" t="s">
        <v>78</v>
      </c>
      <c r="F34" s="18">
        <v>1040.21</v>
      </c>
      <c r="G34" s="18">
        <v>2000</v>
      </c>
      <c r="H34" s="18">
        <v>2000</v>
      </c>
    </row>
    <row r="35" spans="1:8" ht="15">
      <c r="A35" s="32" t="s">
        <v>204</v>
      </c>
      <c r="B35" s="33">
        <f>SUM(B31:B34)</f>
        <v>68556.100000000006</v>
      </c>
      <c r="C35" s="33">
        <f>SUM(C31:C34)</f>
        <v>100000</v>
      </c>
      <c r="D35" s="33">
        <f>SUM(D31:D34)</f>
        <v>100000</v>
      </c>
      <c r="E35" s="35" t="s">
        <v>66</v>
      </c>
      <c r="F35" s="33">
        <f>SUM(F31:F34)</f>
        <v>88991.430000000008</v>
      </c>
      <c r="G35" s="33">
        <f>SUM(G31:G34)</f>
        <v>103000</v>
      </c>
      <c r="H35" s="33">
        <f>SUM(H31:H34)</f>
        <v>103000</v>
      </c>
    </row>
    <row r="36" spans="1:8">
      <c r="A36" s="22" t="s">
        <v>201</v>
      </c>
      <c r="B36" s="22"/>
      <c r="C36" s="22"/>
      <c r="D36" s="22"/>
      <c r="E36" s="26" t="s">
        <v>199</v>
      </c>
      <c r="F36" s="22"/>
      <c r="G36" s="22"/>
      <c r="H36" s="22"/>
    </row>
    <row r="37" spans="1:8">
      <c r="A37" s="22" t="s">
        <v>71</v>
      </c>
      <c r="B37" s="18">
        <v>0</v>
      </c>
      <c r="C37" s="18">
        <v>0</v>
      </c>
      <c r="D37" s="18">
        <v>0</v>
      </c>
      <c r="E37" s="14"/>
      <c r="F37" s="18">
        <v>2880</v>
      </c>
      <c r="G37" s="18">
        <v>8000</v>
      </c>
      <c r="H37" s="18">
        <v>8000</v>
      </c>
    </row>
    <row r="38" spans="1:8">
      <c r="A38" s="22" t="s">
        <v>74</v>
      </c>
      <c r="B38" s="18">
        <v>0</v>
      </c>
      <c r="C38" s="18">
        <v>0</v>
      </c>
      <c r="D38" s="18">
        <v>0</v>
      </c>
      <c r="E38" s="14"/>
      <c r="F38" s="18">
        <v>1848</v>
      </c>
      <c r="G38" s="18">
        <v>4000</v>
      </c>
      <c r="H38" s="18">
        <v>4000</v>
      </c>
    </row>
    <row r="39" spans="1:8">
      <c r="A39" s="22" t="s">
        <v>200</v>
      </c>
      <c r="B39" s="18">
        <v>3329.64</v>
      </c>
      <c r="C39" s="18">
        <v>0</v>
      </c>
      <c r="D39" s="18">
        <v>10000</v>
      </c>
      <c r="E39" s="14"/>
      <c r="F39" s="18">
        <v>4110.03</v>
      </c>
      <c r="G39" s="18">
        <v>0</v>
      </c>
      <c r="H39" s="18">
        <v>10000</v>
      </c>
    </row>
    <row r="40" spans="1:8">
      <c r="A40" s="22" t="s">
        <v>225</v>
      </c>
      <c r="B40" s="18">
        <v>199.1</v>
      </c>
      <c r="C40" s="18">
        <v>0</v>
      </c>
      <c r="D40" s="18">
        <v>0</v>
      </c>
      <c r="E40" s="14" t="s">
        <v>73</v>
      </c>
      <c r="F40" s="18">
        <v>17433.63</v>
      </c>
      <c r="G40" s="18">
        <v>18000</v>
      </c>
      <c r="H40" s="18">
        <v>15000</v>
      </c>
    </row>
    <row r="41" spans="1:8" ht="15">
      <c r="A41" s="32" t="s">
        <v>202</v>
      </c>
      <c r="B41" s="33">
        <f>SUM(B37:B40)</f>
        <v>3528.74</v>
      </c>
      <c r="C41" s="33">
        <v>0</v>
      </c>
      <c r="D41" s="33">
        <f>SUM(D37:D40)</f>
        <v>10000</v>
      </c>
      <c r="E41" s="35" t="s">
        <v>72</v>
      </c>
      <c r="F41" s="33">
        <f>SUM(F37:F40)</f>
        <v>26271.66</v>
      </c>
      <c r="G41" s="33">
        <v>0</v>
      </c>
      <c r="H41" s="33">
        <f>SUM(H37:H40)</f>
        <v>37000</v>
      </c>
    </row>
    <row r="42" spans="1:8">
      <c r="A42" s="22" t="s">
        <v>226</v>
      </c>
      <c r="B42" s="22"/>
      <c r="C42" s="22"/>
      <c r="D42" s="22"/>
      <c r="E42" s="26" t="s">
        <v>91</v>
      </c>
      <c r="F42" s="22"/>
      <c r="G42" s="22"/>
      <c r="H42" s="22"/>
    </row>
    <row r="43" spans="1:8">
      <c r="A43" s="22" t="s">
        <v>227</v>
      </c>
      <c r="B43" s="18">
        <v>0</v>
      </c>
      <c r="C43" s="18">
        <v>0</v>
      </c>
      <c r="D43" s="18">
        <v>0</v>
      </c>
      <c r="E43" s="26" t="s">
        <v>88</v>
      </c>
      <c r="F43" s="13">
        <f>SUM(56099.87,38746.23)</f>
        <v>94846.1</v>
      </c>
      <c r="G43" s="18">
        <v>100000</v>
      </c>
      <c r="H43" s="36">
        <v>99000</v>
      </c>
    </row>
    <row r="44" spans="1:8">
      <c r="A44" s="18" t="s">
        <v>228</v>
      </c>
      <c r="B44" s="18">
        <v>0</v>
      </c>
      <c r="C44" s="18">
        <v>0</v>
      </c>
      <c r="D44" s="18">
        <v>0</v>
      </c>
      <c r="E44" s="14" t="s">
        <v>89</v>
      </c>
      <c r="F44" s="13">
        <v>47595.98</v>
      </c>
      <c r="G44" s="18">
        <v>50000</v>
      </c>
      <c r="H44" s="36">
        <v>40000</v>
      </c>
    </row>
    <row r="45" spans="1:8">
      <c r="A45" s="18" t="s">
        <v>229</v>
      </c>
      <c r="B45" s="18">
        <v>0</v>
      </c>
      <c r="C45" s="18">
        <v>0</v>
      </c>
      <c r="D45" s="18">
        <v>0</v>
      </c>
      <c r="E45" s="14" t="s">
        <v>90</v>
      </c>
      <c r="F45" s="13">
        <v>79752.509999999995</v>
      </c>
      <c r="G45" s="18">
        <v>80000</v>
      </c>
      <c r="H45" s="36">
        <v>70000</v>
      </c>
    </row>
    <row r="46" spans="1:8">
      <c r="A46" s="18" t="s">
        <v>92</v>
      </c>
      <c r="B46" s="16">
        <v>14856.04</v>
      </c>
      <c r="C46" s="18">
        <v>0</v>
      </c>
      <c r="D46" s="16">
        <v>0</v>
      </c>
      <c r="E46" s="15"/>
      <c r="F46" s="13">
        <v>39924.57</v>
      </c>
      <c r="G46" s="18">
        <v>50000</v>
      </c>
      <c r="H46" s="17">
        <v>50000</v>
      </c>
    </row>
    <row r="47" spans="1:8" ht="15">
      <c r="A47" s="33" t="s">
        <v>203</v>
      </c>
      <c r="B47" s="33">
        <f>SUM(B43:B46)</f>
        <v>14856.04</v>
      </c>
      <c r="C47" s="33">
        <v>0</v>
      </c>
      <c r="D47" s="33">
        <v>0</v>
      </c>
      <c r="E47" s="35" t="s">
        <v>91</v>
      </c>
      <c r="F47" s="34">
        <f>SUM(F43:F46)</f>
        <v>262119.16000000003</v>
      </c>
      <c r="G47" s="33">
        <f>SUM(G43:G46)</f>
        <v>280000</v>
      </c>
      <c r="H47" s="37">
        <f>SUM(H43:H46)</f>
        <v>259000</v>
      </c>
    </row>
  </sheetData>
  <mergeCells count="3">
    <mergeCell ref="B1:D1"/>
    <mergeCell ref="F1:H1"/>
    <mergeCell ref="J1:L1"/>
  </mergeCells>
  <printOptions horizontalCentered="1" verticalCentered="1"/>
  <pageMargins left="0.31496062992125984" right="0.31496062992125984" top="0.39370078740157483" bottom="0.39370078740157483" header="0.19685039370078741" footer="0.11811023622047245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2" workbookViewId="0">
      <selection activeCell="D22" sqref="D22"/>
    </sheetView>
  </sheetViews>
  <sheetFormatPr baseColWidth="10" defaultRowHeight="14.25"/>
  <cols>
    <col min="1" max="1" width="30.375" customWidth="1"/>
    <col min="2" max="4" width="19" customWidth="1"/>
    <col min="5" max="5" width="10.625" customWidth="1"/>
    <col min="6" max="8" width="19" customWidth="1"/>
  </cols>
  <sheetData>
    <row r="1" spans="1:8">
      <c r="A1" s="3"/>
      <c r="B1" s="52" t="s">
        <v>10</v>
      </c>
      <c r="C1" s="52"/>
      <c r="D1" s="52"/>
      <c r="E1" s="11"/>
      <c r="F1" s="52" t="s">
        <v>11</v>
      </c>
      <c r="G1" s="52"/>
      <c r="H1" s="52"/>
    </row>
    <row r="2" spans="1:8">
      <c r="A2" s="3"/>
      <c r="B2" s="3" t="str">
        <f>Einstellungen!B4</f>
        <v>Ergebnis 2020</v>
      </c>
      <c r="C2" s="3" t="str">
        <f>Einstellungen!C4</f>
        <v>Ansatz 2022</v>
      </c>
      <c r="D2" s="3" t="str">
        <f>Einstellungen!D4</f>
        <v>Ansatz 2021</v>
      </c>
      <c r="E2" s="11"/>
      <c r="F2" s="3" t="str">
        <f>$B$2</f>
        <v>Ergebnis 2020</v>
      </c>
      <c r="G2" s="3" t="str">
        <f>$C$2</f>
        <v>Ansatz 2022</v>
      </c>
      <c r="H2" s="3" t="str">
        <f>$D$2</f>
        <v>Ansatz 2021</v>
      </c>
    </row>
    <row r="3" spans="1:8">
      <c r="A3" s="22" t="s">
        <v>206</v>
      </c>
      <c r="B3" s="22"/>
      <c r="C3" s="22"/>
      <c r="D3" s="22"/>
      <c r="E3" s="22"/>
      <c r="F3" s="22"/>
      <c r="G3" s="22"/>
      <c r="H3" s="22"/>
    </row>
    <row r="4" spans="1:8">
      <c r="A4" s="22" t="s">
        <v>230</v>
      </c>
      <c r="B4" s="18">
        <v>0</v>
      </c>
      <c r="C4" s="18">
        <v>0</v>
      </c>
      <c r="D4" s="18">
        <v>0</v>
      </c>
      <c r="E4" s="14"/>
      <c r="F4" s="18">
        <v>6429</v>
      </c>
      <c r="G4" s="18">
        <v>17000</v>
      </c>
      <c r="H4" s="18">
        <v>17640</v>
      </c>
    </row>
    <row r="5" spans="1:8">
      <c r="A5" s="22" t="s">
        <v>231</v>
      </c>
      <c r="B5" s="18">
        <v>0</v>
      </c>
      <c r="C5" s="18">
        <v>0</v>
      </c>
      <c r="D5" s="18">
        <v>0</v>
      </c>
      <c r="E5" s="14"/>
      <c r="F5" s="13">
        <v>0</v>
      </c>
      <c r="G5" s="18">
        <v>3000</v>
      </c>
      <c r="H5" s="18">
        <v>3000</v>
      </c>
    </row>
    <row r="6" spans="1:8">
      <c r="A6" s="22" t="s">
        <v>232</v>
      </c>
      <c r="B6" s="18">
        <v>0</v>
      </c>
      <c r="C6" s="18">
        <v>0</v>
      </c>
      <c r="D6" s="18">
        <v>0</v>
      </c>
      <c r="E6" s="14"/>
      <c r="F6" s="18">
        <v>0</v>
      </c>
      <c r="G6" s="18">
        <v>0</v>
      </c>
      <c r="H6" s="18">
        <v>0</v>
      </c>
    </row>
    <row r="7" spans="1:8">
      <c r="A7" s="22" t="s">
        <v>233</v>
      </c>
      <c r="B7" s="18">
        <v>873.52</v>
      </c>
      <c r="C7" s="18">
        <v>0</v>
      </c>
      <c r="D7" s="18">
        <v>0</v>
      </c>
      <c r="E7" s="14"/>
      <c r="F7" s="18">
        <f>SUM(50,6404.1,16158.12)</f>
        <v>22612.22</v>
      </c>
      <c r="G7" s="18">
        <v>13000</v>
      </c>
      <c r="H7" s="18">
        <v>13000</v>
      </c>
    </row>
    <row r="8" spans="1:8">
      <c r="A8" s="22" t="s">
        <v>234</v>
      </c>
      <c r="B8" s="18">
        <f>SUM(3.1,630.5)</f>
        <v>633.6</v>
      </c>
      <c r="C8" s="18">
        <v>0</v>
      </c>
      <c r="D8" s="18">
        <v>0</v>
      </c>
      <c r="E8" s="18"/>
      <c r="F8" s="18">
        <f>SUM(23.52,3300.04,1036.07,20)</f>
        <v>4379.63</v>
      </c>
      <c r="G8" s="18">
        <v>8000</v>
      </c>
      <c r="H8" s="18">
        <v>8000</v>
      </c>
    </row>
    <row r="9" spans="1:8" ht="15">
      <c r="A9" s="32" t="s">
        <v>94</v>
      </c>
      <c r="B9" s="33">
        <f>SUM(B4:B8)</f>
        <v>1507.12</v>
      </c>
      <c r="C9" s="33">
        <f>SUM(C4:C8)</f>
        <v>0</v>
      </c>
      <c r="D9" s="33">
        <f>SUM(D4:D8)</f>
        <v>0</v>
      </c>
      <c r="E9" s="35" t="s">
        <v>105</v>
      </c>
      <c r="F9" s="33">
        <f>SUM(F4:F8)</f>
        <v>33420.85</v>
      </c>
      <c r="G9" s="33">
        <f>SUM(G4:G8)</f>
        <v>41000</v>
      </c>
      <c r="H9" s="33">
        <f>SUM(H4:H8)</f>
        <v>41640</v>
      </c>
    </row>
    <row r="10" spans="1:8">
      <c r="A10" s="39" t="s">
        <v>169</v>
      </c>
      <c r="B10" s="22"/>
      <c r="C10" s="22"/>
      <c r="D10" s="22"/>
      <c r="E10" s="26"/>
      <c r="F10" s="22"/>
      <c r="G10" s="22"/>
      <c r="H10" s="22"/>
    </row>
    <row r="11" spans="1:8">
      <c r="A11" s="22" t="s">
        <v>235</v>
      </c>
      <c r="B11" s="18">
        <v>0</v>
      </c>
      <c r="C11" s="18">
        <v>0</v>
      </c>
      <c r="D11" s="18">
        <v>0</v>
      </c>
      <c r="E11" s="14"/>
      <c r="F11" s="18">
        <v>0</v>
      </c>
      <c r="G11" s="18">
        <v>1000</v>
      </c>
      <c r="H11" s="18">
        <v>1000</v>
      </c>
    </row>
    <row r="12" spans="1:8">
      <c r="A12" s="22" t="s">
        <v>236</v>
      </c>
      <c r="B12" s="18">
        <v>0</v>
      </c>
      <c r="C12" s="18">
        <v>0</v>
      </c>
      <c r="D12" s="18">
        <v>0</v>
      </c>
      <c r="E12" s="14"/>
      <c r="F12" s="18">
        <v>2205</v>
      </c>
      <c r="G12" s="18">
        <v>8000</v>
      </c>
      <c r="H12" s="18">
        <v>8000</v>
      </c>
    </row>
    <row r="13" spans="1:8" ht="15">
      <c r="A13" s="32" t="s">
        <v>95</v>
      </c>
      <c r="B13" s="33">
        <f>SUM(B11:B12)</f>
        <v>0</v>
      </c>
      <c r="C13" s="33">
        <f>SUM(C11:C12)</f>
        <v>0</v>
      </c>
      <c r="D13" s="33">
        <f>SUM(D11:D12)</f>
        <v>0</v>
      </c>
      <c r="E13" s="35" t="s">
        <v>104</v>
      </c>
      <c r="F13" s="33">
        <f>SUM(F11:F12)</f>
        <v>2205</v>
      </c>
      <c r="G13" s="33">
        <f>SUM(G11:G12)</f>
        <v>9000</v>
      </c>
      <c r="H13" s="33">
        <f>SUM(H11:H12)</f>
        <v>9000</v>
      </c>
    </row>
    <row r="14" spans="1:8">
      <c r="A14" s="22" t="s">
        <v>162</v>
      </c>
      <c r="B14" s="22"/>
      <c r="C14" s="22"/>
      <c r="D14" s="22"/>
      <c r="E14" s="22"/>
      <c r="F14" s="22"/>
      <c r="G14" s="22"/>
      <c r="H14" s="22"/>
    </row>
    <row r="15" spans="1:8">
      <c r="A15" s="22" t="s">
        <v>237</v>
      </c>
      <c r="B15" s="18">
        <v>0</v>
      </c>
      <c r="C15" s="18">
        <v>0</v>
      </c>
      <c r="D15" s="18">
        <v>0</v>
      </c>
      <c r="E15" s="14"/>
      <c r="F15" s="13">
        <v>88485.34</v>
      </c>
      <c r="G15" s="18">
        <v>80000</v>
      </c>
      <c r="H15" s="18">
        <v>79380</v>
      </c>
    </row>
    <row r="16" spans="1:8">
      <c r="A16" s="22" t="s">
        <v>238</v>
      </c>
      <c r="B16" s="18">
        <v>0</v>
      </c>
      <c r="C16" s="18">
        <v>0</v>
      </c>
      <c r="D16" s="18">
        <v>0</v>
      </c>
      <c r="E16" s="14"/>
      <c r="F16" s="13">
        <v>5043.78</v>
      </c>
      <c r="G16" s="18">
        <v>6000</v>
      </c>
      <c r="H16" s="18">
        <v>6000</v>
      </c>
    </row>
    <row r="17" spans="1:8">
      <c r="A17" s="22" t="s">
        <v>239</v>
      </c>
      <c r="B17" s="18">
        <v>0</v>
      </c>
      <c r="C17" s="18">
        <v>0</v>
      </c>
      <c r="D17" s="18">
        <v>0</v>
      </c>
      <c r="E17" s="14"/>
      <c r="F17" s="13">
        <f>SUM(328.5,2076.79,1285.8,8000)</f>
        <v>11691.09</v>
      </c>
      <c r="G17" s="18">
        <v>22000</v>
      </c>
      <c r="H17" s="18">
        <v>22000</v>
      </c>
    </row>
    <row r="18" spans="1:8">
      <c r="A18" s="22" t="s">
        <v>240</v>
      </c>
      <c r="B18" s="18">
        <f>SUM(1506.37,0.74,42.22)</f>
        <v>1549.33</v>
      </c>
      <c r="C18" s="18">
        <v>0</v>
      </c>
      <c r="D18" s="18">
        <v>0</v>
      </c>
      <c r="E18" s="18"/>
      <c r="F18" s="13">
        <f>SUM(7570.93,162.4,4498.92,2156.72)</f>
        <v>14388.97</v>
      </c>
      <c r="G18" s="18">
        <v>30000</v>
      </c>
      <c r="H18" s="18">
        <v>30000</v>
      </c>
    </row>
    <row r="19" spans="1:8" ht="15">
      <c r="A19" s="32" t="s">
        <v>96</v>
      </c>
      <c r="B19" s="33">
        <f>SUM(B15:B18)</f>
        <v>1549.33</v>
      </c>
      <c r="C19" s="33">
        <f>SUM(C15:C18)</f>
        <v>0</v>
      </c>
      <c r="D19" s="33">
        <f>SUM(D15:D18)</f>
        <v>0</v>
      </c>
      <c r="E19" s="35" t="s">
        <v>103</v>
      </c>
      <c r="F19" s="40">
        <f>SUM(F15:F18)</f>
        <v>119609.18</v>
      </c>
      <c r="G19" s="33">
        <f>SUM(G15:G18)</f>
        <v>138000</v>
      </c>
      <c r="H19" s="33">
        <f>SUM(H15:H18)</f>
        <v>137380</v>
      </c>
    </row>
    <row r="20" spans="1:8">
      <c r="A20" s="22" t="s">
        <v>205</v>
      </c>
      <c r="B20" s="22"/>
      <c r="C20" s="22"/>
      <c r="D20" s="22"/>
      <c r="E20" s="22"/>
      <c r="F20" s="22"/>
      <c r="G20" s="22"/>
      <c r="H20" s="22"/>
    </row>
    <row r="21" spans="1:8">
      <c r="A21" s="22" t="s">
        <v>241</v>
      </c>
      <c r="B21" s="18">
        <v>0</v>
      </c>
      <c r="C21" s="18">
        <v>16666</v>
      </c>
      <c r="D21" s="18">
        <v>16666</v>
      </c>
      <c r="E21" s="14"/>
      <c r="F21" s="18">
        <v>1738.8</v>
      </c>
      <c r="G21" s="18">
        <v>10000</v>
      </c>
      <c r="H21" s="18">
        <v>23640</v>
      </c>
    </row>
    <row r="22" spans="1:8">
      <c r="A22" s="22" t="s">
        <v>242</v>
      </c>
      <c r="B22" s="18">
        <v>0</v>
      </c>
      <c r="C22" s="18">
        <v>0</v>
      </c>
      <c r="D22" s="18">
        <v>0</v>
      </c>
      <c r="E22" s="14"/>
      <c r="F22" s="18">
        <v>0</v>
      </c>
      <c r="G22" s="18">
        <v>1000</v>
      </c>
      <c r="H22" s="18">
        <v>5000</v>
      </c>
    </row>
    <row r="23" spans="1:8">
      <c r="A23" s="22" t="s">
        <v>243</v>
      </c>
      <c r="B23" s="18">
        <v>0</v>
      </c>
      <c r="C23" s="18">
        <v>0</v>
      </c>
      <c r="D23" s="36">
        <v>0</v>
      </c>
      <c r="E23" s="18"/>
      <c r="F23" s="18">
        <f>SUM(650,50000,300.67)</f>
        <v>50950.67</v>
      </c>
      <c r="G23" s="18">
        <v>11460</v>
      </c>
      <c r="H23" s="18">
        <v>24155</v>
      </c>
    </row>
    <row r="24" spans="1:8" ht="15">
      <c r="A24" s="32" t="s">
        <v>100</v>
      </c>
      <c r="B24" s="33">
        <f>SUM(B21:B23)</f>
        <v>0</v>
      </c>
      <c r="C24" s="33">
        <f>SUM(C21:C23)</f>
        <v>16666</v>
      </c>
      <c r="D24" s="33">
        <f>SUM(D21:D23)</f>
        <v>16666</v>
      </c>
      <c r="E24" s="35" t="s">
        <v>102</v>
      </c>
      <c r="F24" s="33">
        <f>SUM(F21:F23)</f>
        <v>52689.47</v>
      </c>
      <c r="G24" s="33">
        <f>SUM(G21:G23)</f>
        <v>22460</v>
      </c>
      <c r="H24" s="33">
        <f>SUM(H21:H23)</f>
        <v>52795</v>
      </c>
    </row>
    <row r="25" spans="1:8">
      <c r="A25" s="22" t="s">
        <v>178</v>
      </c>
      <c r="B25" s="22"/>
      <c r="C25" s="22"/>
      <c r="D25" s="22"/>
      <c r="E25" s="26">
        <v>5500</v>
      </c>
      <c r="F25" s="22"/>
      <c r="G25" s="22"/>
      <c r="H25" s="22"/>
    </row>
    <row r="26" spans="1:8">
      <c r="A26" s="22" t="s">
        <v>253</v>
      </c>
      <c r="B26" s="18">
        <v>0</v>
      </c>
      <c r="C26" s="18">
        <v>0</v>
      </c>
      <c r="D26" s="18">
        <v>0</v>
      </c>
      <c r="E26" s="14"/>
      <c r="F26" s="18">
        <v>1326.2</v>
      </c>
      <c r="G26" s="18">
        <v>2205</v>
      </c>
      <c r="H26" s="18">
        <v>2205</v>
      </c>
    </row>
    <row r="27" spans="1:8">
      <c r="A27" s="22" t="s">
        <v>254</v>
      </c>
      <c r="B27" s="18">
        <v>0</v>
      </c>
      <c r="C27" s="18">
        <v>0</v>
      </c>
      <c r="D27" s="18">
        <v>0</v>
      </c>
      <c r="E27" s="14"/>
      <c r="F27" s="18">
        <v>0</v>
      </c>
      <c r="G27" s="18">
        <v>100</v>
      </c>
      <c r="H27" s="18">
        <v>100</v>
      </c>
    </row>
    <row r="28" spans="1:8">
      <c r="A28" s="22" t="s">
        <v>255</v>
      </c>
      <c r="B28" s="18">
        <v>0</v>
      </c>
      <c r="C28" s="18">
        <v>0</v>
      </c>
      <c r="D28" s="18">
        <v>0</v>
      </c>
      <c r="E28" s="18"/>
      <c r="F28" s="18">
        <v>62.5</v>
      </c>
      <c r="G28" s="18">
        <v>1000</v>
      </c>
      <c r="H28" s="18">
        <v>1000</v>
      </c>
    </row>
    <row r="29" spans="1:8" ht="15">
      <c r="A29" s="32" t="s">
        <v>99</v>
      </c>
      <c r="B29" s="33">
        <f>SUM(B26:B28)</f>
        <v>0</v>
      </c>
      <c r="C29" s="33">
        <f>SUM(C26:C28)</f>
        <v>0</v>
      </c>
      <c r="D29" s="33">
        <f>SUM(D26:D28)</f>
        <v>0</v>
      </c>
      <c r="E29" s="35" t="s">
        <v>101</v>
      </c>
      <c r="F29" s="33">
        <f>SUM(F26:F28)</f>
        <v>1388.7</v>
      </c>
      <c r="G29" s="33">
        <f>SUM(G26:G28)</f>
        <v>3305</v>
      </c>
      <c r="H29" s="33">
        <f>SUM(H26:H28)</f>
        <v>3305</v>
      </c>
    </row>
    <row r="30" spans="1:8">
      <c r="A30" s="3" t="s">
        <v>207</v>
      </c>
      <c r="B30" s="3"/>
      <c r="C30" s="3"/>
      <c r="D30" s="3"/>
      <c r="E30" s="11"/>
      <c r="F30" s="5"/>
      <c r="G30" s="5"/>
      <c r="H30" s="5"/>
    </row>
    <row r="31" spans="1:8">
      <c r="A31" s="22" t="s">
        <v>256</v>
      </c>
      <c r="B31" s="18">
        <v>0</v>
      </c>
      <c r="C31" s="18">
        <v>0</v>
      </c>
      <c r="D31" s="18">
        <v>0</v>
      </c>
      <c r="E31" s="14"/>
      <c r="F31" s="13">
        <v>0</v>
      </c>
      <c r="G31" s="18">
        <v>0</v>
      </c>
      <c r="H31" s="18">
        <v>0</v>
      </c>
    </row>
    <row r="32" spans="1:8">
      <c r="A32" s="22" t="s">
        <v>257</v>
      </c>
      <c r="B32" s="18">
        <v>0</v>
      </c>
      <c r="C32" s="18">
        <v>0</v>
      </c>
      <c r="D32" s="18">
        <v>0</v>
      </c>
      <c r="E32" s="14"/>
      <c r="F32" s="18">
        <v>0</v>
      </c>
      <c r="G32" s="18">
        <v>0</v>
      </c>
      <c r="H32" s="18">
        <v>0</v>
      </c>
    </row>
    <row r="33" spans="1:8">
      <c r="A33" s="22" t="s">
        <v>258</v>
      </c>
      <c r="B33" s="18">
        <v>0</v>
      </c>
      <c r="C33" s="18">
        <v>0</v>
      </c>
      <c r="D33" s="18">
        <v>0</v>
      </c>
      <c r="E33" s="14"/>
      <c r="F33" s="18">
        <v>0</v>
      </c>
      <c r="G33" s="18">
        <v>0</v>
      </c>
      <c r="H33" s="18">
        <v>0</v>
      </c>
    </row>
    <row r="34" spans="1:8">
      <c r="A34" s="22" t="s">
        <v>259</v>
      </c>
      <c r="B34" s="18">
        <v>0</v>
      </c>
      <c r="C34" s="18">
        <v>0</v>
      </c>
      <c r="D34" s="18">
        <v>0</v>
      </c>
      <c r="E34" s="14"/>
      <c r="F34" s="18">
        <v>0</v>
      </c>
      <c r="G34" s="18">
        <v>0</v>
      </c>
      <c r="H34" s="18">
        <v>0</v>
      </c>
    </row>
    <row r="35" spans="1:8">
      <c r="A35" s="22" t="s">
        <v>260</v>
      </c>
      <c r="B35" s="18">
        <v>0</v>
      </c>
      <c r="C35" s="18">
        <v>0</v>
      </c>
      <c r="D35" s="18">
        <v>0</v>
      </c>
      <c r="E35" s="18"/>
      <c r="F35" s="13">
        <v>0</v>
      </c>
      <c r="G35" s="18">
        <v>0</v>
      </c>
      <c r="H35" s="18">
        <v>0</v>
      </c>
    </row>
    <row r="36" spans="1:8" ht="15">
      <c r="A36" s="32" t="s">
        <v>98</v>
      </c>
      <c r="B36" s="33">
        <f>SUM(B31:B35)</f>
        <v>0</v>
      </c>
      <c r="C36" s="33">
        <f>SUM(C31:C35)</f>
        <v>0</v>
      </c>
      <c r="D36" s="33">
        <f>SUM(D31:D35)</f>
        <v>0</v>
      </c>
      <c r="E36" s="35" t="s">
        <v>107</v>
      </c>
      <c r="F36" s="33">
        <f>SUM(F31:F35)</f>
        <v>0</v>
      </c>
      <c r="G36" s="33">
        <f>SUM(G31:G35)</f>
        <v>0</v>
      </c>
      <c r="H36" s="33">
        <f>SUM(H31:H35)</f>
        <v>0</v>
      </c>
    </row>
    <row r="37" spans="1:8">
      <c r="A37" s="22" t="s">
        <v>175</v>
      </c>
      <c r="B37" s="22"/>
      <c r="C37" s="22"/>
      <c r="D37" s="22"/>
      <c r="E37" s="26">
        <v>5800</v>
      </c>
      <c r="F37" s="22"/>
      <c r="G37" s="22"/>
      <c r="H37" s="22"/>
    </row>
    <row r="38" spans="1:8">
      <c r="A38" s="22" t="s">
        <v>261</v>
      </c>
      <c r="B38" s="18">
        <v>0</v>
      </c>
      <c r="C38" s="18">
        <v>0</v>
      </c>
      <c r="D38" s="18">
        <v>0</v>
      </c>
      <c r="E38" s="14"/>
      <c r="F38" s="18">
        <v>0</v>
      </c>
      <c r="G38" s="18">
        <v>0</v>
      </c>
      <c r="H38" s="18">
        <v>0</v>
      </c>
    </row>
    <row r="39" spans="1:8">
      <c r="A39" s="22" t="s">
        <v>262</v>
      </c>
      <c r="B39" s="18">
        <v>0</v>
      </c>
      <c r="C39" s="18">
        <v>0</v>
      </c>
      <c r="D39" s="18">
        <v>0</v>
      </c>
      <c r="E39" s="14"/>
      <c r="F39" s="18">
        <v>0</v>
      </c>
      <c r="G39" s="18">
        <v>0</v>
      </c>
      <c r="H39" s="18">
        <v>0</v>
      </c>
    </row>
    <row r="40" spans="1:8">
      <c r="A40" s="22" t="s">
        <v>263</v>
      </c>
      <c r="B40" s="18">
        <v>0</v>
      </c>
      <c r="C40" s="18">
        <v>0</v>
      </c>
      <c r="D40" s="18">
        <v>0</v>
      </c>
      <c r="E40" s="14"/>
      <c r="F40" s="18">
        <v>0</v>
      </c>
      <c r="G40" s="18">
        <v>0</v>
      </c>
      <c r="H40" s="18">
        <v>0</v>
      </c>
    </row>
    <row r="41" spans="1:8">
      <c r="A41" s="22" t="s">
        <v>264</v>
      </c>
      <c r="B41" s="18">
        <v>0</v>
      </c>
      <c r="C41" s="18">
        <v>0</v>
      </c>
      <c r="D41" s="18">
        <v>0</v>
      </c>
      <c r="E41" s="14"/>
      <c r="F41" s="18">
        <v>0</v>
      </c>
      <c r="G41" s="18">
        <v>0</v>
      </c>
      <c r="H41" s="18">
        <v>0</v>
      </c>
    </row>
    <row r="42" spans="1:8">
      <c r="A42" s="22" t="s">
        <v>265</v>
      </c>
      <c r="B42" s="18">
        <v>0</v>
      </c>
      <c r="C42" s="18">
        <v>0</v>
      </c>
      <c r="D42" s="18">
        <v>0</v>
      </c>
      <c r="E42" s="18"/>
      <c r="F42" s="18">
        <v>2435.2199999999998</v>
      </c>
      <c r="G42" s="18">
        <v>15000</v>
      </c>
      <c r="H42" s="18">
        <v>15000</v>
      </c>
    </row>
    <row r="43" spans="1:8" ht="15">
      <c r="A43" s="32" t="s">
        <v>97</v>
      </c>
      <c r="B43" s="33">
        <f>SUM(B38:B42)</f>
        <v>0</v>
      </c>
      <c r="C43" s="33">
        <f>SUM(C38:C42)</f>
        <v>0</v>
      </c>
      <c r="D43" s="33">
        <f>SUM(D38:D42)</f>
        <v>0</v>
      </c>
      <c r="E43" s="35" t="s">
        <v>106</v>
      </c>
      <c r="F43" s="33">
        <f>SUM(F38:F42)</f>
        <v>2435.2199999999998</v>
      </c>
      <c r="G43" s="33">
        <f>SUM(G38:G42)</f>
        <v>15000</v>
      </c>
      <c r="H43" s="33">
        <f>SUM(H38:H42)</f>
        <v>15000</v>
      </c>
    </row>
    <row r="44" spans="1:8" ht="15">
      <c r="A44" s="27"/>
      <c r="B44" s="27"/>
      <c r="C44" s="33"/>
      <c r="D44" s="33"/>
      <c r="E44" s="27"/>
      <c r="F44" s="27"/>
      <c r="G44" s="27"/>
      <c r="H44" s="27"/>
    </row>
    <row r="45" spans="1:8" ht="15">
      <c r="A45" s="47" t="s">
        <v>93</v>
      </c>
      <c r="B45" s="51">
        <f>SUM(B43,B36,B29,B24,B19,B13,B9)</f>
        <v>3056.45</v>
      </c>
      <c r="C45" s="33">
        <f>SUM(C43,C36,C29,C24,C19,C13,C9)</f>
        <v>16666</v>
      </c>
      <c r="D45" s="33">
        <f>SUM(D43,D36,D29,D24,D19,D13,D9)</f>
        <v>16666</v>
      </c>
      <c r="E45" s="48"/>
      <c r="F45" s="51">
        <f>SUM(F43,F36,F29,F24,F19,F13,F9)</f>
        <v>211748.42</v>
      </c>
      <c r="G45" s="51">
        <f>SUM(G43,G36,G29,G24,G19,G13,G9)</f>
        <v>228765</v>
      </c>
      <c r="H45" s="51">
        <f>SUM(H43,H36,H29,H24,H19,H13,H9)</f>
        <v>259120</v>
      </c>
    </row>
  </sheetData>
  <mergeCells count="2">
    <mergeCell ref="B1:D1"/>
    <mergeCell ref="F1:H1"/>
  </mergeCells>
  <pageMargins left="0" right="0" top="0.39370078740157483" bottom="0.39370078740157483" header="0" footer="0"/>
  <pageSetup paperSize="9" scale="80" fitToWidth="0" fitToHeight="0" pageOrder="overThenDown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35" sqref="E35"/>
    </sheetView>
  </sheetViews>
  <sheetFormatPr baseColWidth="10" defaultRowHeight="14.25"/>
  <cols>
    <col min="1" max="1" width="30.25" customWidth="1"/>
    <col min="2" max="4" width="19" customWidth="1"/>
    <col min="5" max="5" width="10.625" customWidth="1"/>
    <col min="6" max="8" width="19" customWidth="1"/>
  </cols>
  <sheetData>
    <row r="1" spans="1:8">
      <c r="A1" s="3"/>
      <c r="B1" s="52" t="s">
        <v>10</v>
      </c>
      <c r="C1" s="52"/>
      <c r="D1" s="52"/>
      <c r="E1" s="11"/>
      <c r="F1" s="52" t="s">
        <v>11</v>
      </c>
      <c r="G1" s="52"/>
      <c r="H1" s="52"/>
    </row>
    <row r="2" spans="1:8">
      <c r="A2" s="3"/>
      <c r="B2" s="3" t="str">
        <f>Einstellungen!B4</f>
        <v>Ergebnis 2020</v>
      </c>
      <c r="C2" s="3" t="str">
        <f>Einstellungen!C4</f>
        <v>Ansatz 2022</v>
      </c>
      <c r="D2" s="3" t="str">
        <f>Einstellungen!D4</f>
        <v>Ansatz 2021</v>
      </c>
      <c r="E2" s="11"/>
      <c r="F2" s="3" t="str">
        <f>$B$2</f>
        <v>Ergebnis 2020</v>
      </c>
      <c r="G2" s="3" t="str">
        <f>$C$2</f>
        <v>Ansatz 2022</v>
      </c>
      <c r="H2" s="3" t="str">
        <f>$D$2</f>
        <v>Ansatz 2021</v>
      </c>
    </row>
    <row r="3" spans="1:8">
      <c r="A3" s="22" t="s">
        <v>180</v>
      </c>
      <c r="B3" s="22"/>
      <c r="C3" s="22"/>
      <c r="D3" s="22"/>
      <c r="E3" s="22"/>
      <c r="F3" s="22"/>
      <c r="G3" s="22"/>
      <c r="H3" s="22"/>
    </row>
    <row r="4" spans="1:8">
      <c r="A4" s="22" t="s">
        <v>266</v>
      </c>
      <c r="B4" s="18">
        <v>0</v>
      </c>
      <c r="C4" s="18">
        <v>0</v>
      </c>
      <c r="D4" s="36">
        <v>0</v>
      </c>
      <c r="E4" s="14"/>
      <c r="F4" s="18">
        <v>15458.56</v>
      </c>
      <c r="G4" s="18">
        <v>22050</v>
      </c>
      <c r="H4" s="18">
        <v>22050</v>
      </c>
    </row>
    <row r="5" spans="1:8">
      <c r="A5" s="22" t="s">
        <v>267</v>
      </c>
      <c r="B5" s="18">
        <v>0</v>
      </c>
      <c r="C5" s="18">
        <v>0</v>
      </c>
      <c r="D5" s="18">
        <v>0</v>
      </c>
      <c r="E5" s="14"/>
      <c r="F5" s="18">
        <f>SUM(34.03,72.35)</f>
        <v>106.38</v>
      </c>
      <c r="G5" s="18">
        <v>230</v>
      </c>
      <c r="H5" s="18">
        <v>230</v>
      </c>
    </row>
    <row r="6" spans="1:8">
      <c r="A6" s="22" t="s">
        <v>268</v>
      </c>
      <c r="B6" s="18">
        <v>0</v>
      </c>
      <c r="C6" s="18">
        <v>0</v>
      </c>
      <c r="D6" s="18">
        <v>0</v>
      </c>
      <c r="E6" s="14"/>
      <c r="F6" s="18">
        <v>0</v>
      </c>
      <c r="G6" s="18">
        <v>500</v>
      </c>
      <c r="H6" s="18">
        <v>500</v>
      </c>
    </row>
    <row r="7" spans="1:8">
      <c r="A7" s="22" t="s">
        <v>269</v>
      </c>
      <c r="B7" s="18">
        <v>0</v>
      </c>
      <c r="C7" s="18">
        <v>0</v>
      </c>
      <c r="D7" s="18">
        <v>0</v>
      </c>
      <c r="E7" s="18"/>
      <c r="F7" s="18">
        <f>SUM(7133.1,988,480.3,1752.85,9311)</f>
        <v>19665.25</v>
      </c>
      <c r="G7" s="18">
        <v>13430</v>
      </c>
      <c r="H7" s="18">
        <v>13430</v>
      </c>
    </row>
    <row r="8" spans="1:8" ht="15">
      <c r="A8" s="32" t="s">
        <v>109</v>
      </c>
      <c r="B8" s="33">
        <f>SUM(B4:B7)</f>
        <v>0</v>
      </c>
      <c r="C8" s="33">
        <f>SUM(C4:C7)</f>
        <v>0</v>
      </c>
      <c r="D8" s="33">
        <f>SUM(D4:D7)</f>
        <v>0</v>
      </c>
      <c r="E8" s="35" t="s">
        <v>110</v>
      </c>
      <c r="F8" s="33">
        <f>SUM(F4:F7)</f>
        <v>35230.19</v>
      </c>
      <c r="G8" s="33">
        <f>SUM(G4:G7)</f>
        <v>36210</v>
      </c>
      <c r="H8" s="33">
        <f>SUM(H4:H7)</f>
        <v>36210</v>
      </c>
    </row>
    <row r="9" spans="1:8">
      <c r="A9" s="22" t="s">
        <v>165</v>
      </c>
      <c r="B9" s="22"/>
      <c r="C9" s="22"/>
      <c r="D9" s="22"/>
      <c r="E9" s="22"/>
      <c r="F9" s="22"/>
      <c r="G9" s="22"/>
      <c r="H9" s="22"/>
    </row>
    <row r="10" spans="1:8">
      <c r="A10" s="22" t="s">
        <v>270</v>
      </c>
      <c r="B10" s="18">
        <v>0</v>
      </c>
      <c r="C10" s="18">
        <v>0</v>
      </c>
      <c r="D10" s="18">
        <v>0</v>
      </c>
      <c r="E10" s="14"/>
      <c r="F10" s="18">
        <v>21466.799999999999</v>
      </c>
      <c r="G10" s="18">
        <v>22050</v>
      </c>
      <c r="H10" s="18">
        <v>22050</v>
      </c>
    </row>
    <row r="11" spans="1:8">
      <c r="A11" s="22" t="s">
        <v>271</v>
      </c>
      <c r="B11" s="18">
        <v>0</v>
      </c>
      <c r="C11" s="18">
        <v>0</v>
      </c>
      <c r="D11" s="18">
        <v>0</v>
      </c>
      <c r="E11" s="14"/>
      <c r="F11" s="18">
        <v>309.3</v>
      </c>
      <c r="G11" s="18">
        <v>1500</v>
      </c>
      <c r="H11" s="18">
        <v>1500</v>
      </c>
    </row>
    <row r="12" spans="1:8">
      <c r="A12" s="22" t="s">
        <v>272</v>
      </c>
      <c r="B12" s="18">
        <v>0</v>
      </c>
      <c r="C12" s="18">
        <v>0</v>
      </c>
      <c r="D12" s="18">
        <v>0</v>
      </c>
      <c r="E12" s="14"/>
      <c r="F12" s="18">
        <v>0</v>
      </c>
      <c r="G12" s="18">
        <v>2000</v>
      </c>
      <c r="H12" s="18">
        <v>2000</v>
      </c>
    </row>
    <row r="13" spans="1:8">
      <c r="A13" s="22" t="s">
        <v>273</v>
      </c>
      <c r="B13" s="18">
        <v>1420</v>
      </c>
      <c r="C13" s="18">
        <v>0</v>
      </c>
      <c r="D13" s="18">
        <v>0</v>
      </c>
      <c r="E13" s="18"/>
      <c r="F13" s="18">
        <f>SUM(931.38,156.45,63.9,13722.36)</f>
        <v>14874.09</v>
      </c>
      <c r="G13" s="18">
        <v>10660</v>
      </c>
      <c r="H13" s="18">
        <v>10660</v>
      </c>
    </row>
    <row r="14" spans="1:8" ht="15">
      <c r="A14" s="32" t="s">
        <v>111</v>
      </c>
      <c r="B14" s="33">
        <f>SUM(B10:B13)</f>
        <v>1420</v>
      </c>
      <c r="C14" s="33">
        <f>SUM(C10:C13)</f>
        <v>0</v>
      </c>
      <c r="D14" s="33">
        <f>SUM(D10:D13)</f>
        <v>0</v>
      </c>
      <c r="E14" s="41" t="s">
        <v>116</v>
      </c>
      <c r="F14" s="33">
        <f>SUM(F10:F13)</f>
        <v>36650.19</v>
      </c>
      <c r="G14" s="33">
        <f>SUM(G10:G13)</f>
        <v>36210</v>
      </c>
      <c r="H14" s="33">
        <f>SUM(H10:H13)</f>
        <v>36210</v>
      </c>
    </row>
    <row r="15" spans="1:8">
      <c r="A15" s="22" t="s">
        <v>208</v>
      </c>
      <c r="B15" s="22"/>
      <c r="C15" s="22"/>
      <c r="D15" s="22"/>
      <c r="E15" s="22"/>
      <c r="F15" s="22"/>
      <c r="G15" s="22"/>
      <c r="H15" s="22"/>
    </row>
    <row r="16" spans="1:8">
      <c r="A16" s="22" t="s">
        <v>274</v>
      </c>
      <c r="B16" s="18">
        <v>0</v>
      </c>
      <c r="C16" s="18">
        <v>0</v>
      </c>
      <c r="D16" s="18">
        <v>0</v>
      </c>
      <c r="E16" s="14"/>
      <c r="F16" s="18">
        <v>28136.04</v>
      </c>
      <c r="G16" s="18">
        <v>22050</v>
      </c>
      <c r="H16" s="18">
        <v>22050</v>
      </c>
    </row>
    <row r="17" spans="1:8">
      <c r="A17" s="22" t="s">
        <v>275</v>
      </c>
      <c r="B17" s="18">
        <v>0</v>
      </c>
      <c r="C17" s="18">
        <v>0</v>
      </c>
      <c r="D17" s="18">
        <v>0</v>
      </c>
      <c r="E17" s="14"/>
      <c r="F17" s="18">
        <f>SUM(311.64,269)</f>
        <v>580.64</v>
      </c>
      <c r="G17" s="18">
        <v>2000</v>
      </c>
      <c r="H17" s="18">
        <v>2000</v>
      </c>
    </row>
    <row r="18" spans="1:8">
      <c r="A18" s="22" t="s">
        <v>276</v>
      </c>
      <c r="B18" s="18">
        <v>0</v>
      </c>
      <c r="C18" s="18">
        <v>0</v>
      </c>
      <c r="D18" s="18">
        <v>0</v>
      </c>
      <c r="E18" s="14"/>
      <c r="F18" s="18">
        <v>0</v>
      </c>
      <c r="G18" s="18">
        <v>500</v>
      </c>
      <c r="H18" s="18">
        <v>500</v>
      </c>
    </row>
    <row r="19" spans="1:8">
      <c r="A19" s="22" t="s">
        <v>277</v>
      </c>
      <c r="B19" s="18">
        <f>SUM(3790,7268.52)</f>
        <v>11058.52</v>
      </c>
      <c r="C19" s="18">
        <v>0</v>
      </c>
      <c r="D19" s="18">
        <v>0</v>
      </c>
      <c r="E19" s="18"/>
      <c r="F19" s="18">
        <f>SUM(16585.31,83.85,902.87)</f>
        <v>17572.03</v>
      </c>
      <c r="G19" s="18">
        <v>11660</v>
      </c>
      <c r="H19" s="18">
        <v>11660</v>
      </c>
    </row>
    <row r="20" spans="1:8" ht="15">
      <c r="A20" s="32" t="s">
        <v>112</v>
      </c>
      <c r="B20" s="33">
        <f>SUM(B16:B19)</f>
        <v>11058.52</v>
      </c>
      <c r="C20" s="33">
        <f>SUM(C16:C19)</f>
        <v>0</v>
      </c>
      <c r="D20" s="33">
        <f>SUM(D16:D19)</f>
        <v>0</v>
      </c>
      <c r="E20" s="35" t="s">
        <v>115</v>
      </c>
      <c r="F20" s="33">
        <f>SUM(F16:F19)</f>
        <v>46288.71</v>
      </c>
      <c r="G20" s="33">
        <f>SUM(G16:G19)</f>
        <v>36210</v>
      </c>
      <c r="H20" s="33">
        <f>SUM(H16:H19)</f>
        <v>36210</v>
      </c>
    </row>
    <row r="21" spans="1:8">
      <c r="A21" s="22" t="s">
        <v>174</v>
      </c>
      <c r="B21" s="22"/>
      <c r="C21" s="22"/>
      <c r="D21" s="22"/>
      <c r="E21" s="22"/>
      <c r="F21" s="22"/>
      <c r="G21" s="22"/>
      <c r="H21" s="22"/>
    </row>
    <row r="22" spans="1:8">
      <c r="A22" s="22" t="s">
        <v>278</v>
      </c>
      <c r="B22" s="18">
        <v>0</v>
      </c>
      <c r="C22" s="18">
        <v>0</v>
      </c>
      <c r="D22" s="18">
        <v>0</v>
      </c>
      <c r="E22" s="14"/>
      <c r="F22" s="18">
        <v>16881.599999999999</v>
      </c>
      <c r="G22" s="18">
        <v>22050</v>
      </c>
      <c r="H22" s="18">
        <v>22050</v>
      </c>
    </row>
    <row r="23" spans="1:8">
      <c r="A23" s="22" t="s">
        <v>279</v>
      </c>
      <c r="B23" s="18">
        <v>0</v>
      </c>
      <c r="C23" s="18">
        <v>0</v>
      </c>
      <c r="D23" s="18">
        <v>0</v>
      </c>
      <c r="E23" s="14"/>
      <c r="F23" s="18">
        <f>SUM(412.5,152,107.91)</f>
        <v>672.41</v>
      </c>
      <c r="G23" s="18">
        <v>2000</v>
      </c>
      <c r="H23" s="18">
        <v>2000</v>
      </c>
    </row>
    <row r="24" spans="1:8">
      <c r="A24" s="22" t="s">
        <v>280</v>
      </c>
      <c r="B24" s="18">
        <v>0</v>
      </c>
      <c r="C24" s="18">
        <v>0</v>
      </c>
      <c r="D24" s="18">
        <v>0</v>
      </c>
      <c r="E24" s="14"/>
      <c r="F24" s="18">
        <v>0</v>
      </c>
      <c r="G24" s="18">
        <v>500</v>
      </c>
      <c r="H24" s="18">
        <v>500</v>
      </c>
    </row>
    <row r="25" spans="1:8">
      <c r="A25" s="22" t="s">
        <v>281</v>
      </c>
      <c r="B25" s="18">
        <f>SUM(132.48,7.06)</f>
        <v>139.54</v>
      </c>
      <c r="C25" s="18">
        <v>0</v>
      </c>
      <c r="D25" s="18">
        <v>0</v>
      </c>
      <c r="E25" s="18"/>
      <c r="F25" s="18">
        <f>SUM(5010.69,410.76,213.2,78.9,1638.24,10463.93)</f>
        <v>17815.72</v>
      </c>
      <c r="G25" s="18">
        <v>11660</v>
      </c>
      <c r="H25" s="18">
        <v>11660</v>
      </c>
    </row>
    <row r="26" spans="1:8" ht="15">
      <c r="A26" s="32" t="s">
        <v>113</v>
      </c>
      <c r="B26" s="33">
        <f>SUM(B22:B25)</f>
        <v>139.54</v>
      </c>
      <c r="C26" s="33">
        <f>SUM(C22:C25)</f>
        <v>0</v>
      </c>
      <c r="D26" s="33">
        <f>SUM(D22:D25)</f>
        <v>0</v>
      </c>
      <c r="E26" s="35" t="s">
        <v>114</v>
      </c>
      <c r="F26" s="33">
        <f>SUM(F22:F25)</f>
        <v>35369.729999999996</v>
      </c>
      <c r="G26" s="33">
        <f>SUM(G22:G25)</f>
        <v>36210</v>
      </c>
      <c r="H26" s="33">
        <f>SUM(H22:H25)</f>
        <v>36210</v>
      </c>
    </row>
    <row r="27" spans="1:8">
      <c r="A27" s="27"/>
      <c r="B27" s="27"/>
      <c r="C27" s="27"/>
      <c r="D27" s="27"/>
      <c r="E27" s="27"/>
      <c r="F27" s="27"/>
      <c r="G27" s="27"/>
      <c r="H27" s="27"/>
    </row>
    <row r="28" spans="1:8" ht="15">
      <c r="A28" s="49" t="s">
        <v>108</v>
      </c>
      <c r="B28" s="51">
        <f>SUM(B26,B20,B14,B8)</f>
        <v>12618.060000000001</v>
      </c>
      <c r="C28" s="51">
        <f>SUM(C26,C20,C14,C8)</f>
        <v>0</v>
      </c>
      <c r="D28" s="51">
        <f>SUM(D26,D20,D14,D8)</f>
        <v>0</v>
      </c>
      <c r="E28" s="41">
        <v>6000</v>
      </c>
      <c r="F28" s="40">
        <f>SUM(F26,F20,F14,F8)</f>
        <v>153538.82</v>
      </c>
      <c r="G28" s="40">
        <f>SUM(G26,G20,G14,G8)</f>
        <v>144840</v>
      </c>
      <c r="H28" s="40">
        <f>SUM(H26,H20,H14,H8)</f>
        <v>144840</v>
      </c>
    </row>
  </sheetData>
  <mergeCells count="2">
    <mergeCell ref="B1:D1"/>
    <mergeCell ref="F1:H1"/>
  </mergeCells>
  <pageMargins left="0" right="0" top="0.39370078740157477" bottom="0.39370078740157477" header="0" footer="0"/>
  <pageSetup paperSize="9" scale="75" fitToWidth="0" fitToHeight="0" pageOrder="overThenDown" orientation="landscape" useFirstPageNumber="1" r:id="rId1"/>
  <headerFooter>
    <oddHeader>&amp;C&amp;A</oddHeader>
    <oddFooter>&amp;CSeite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9" workbookViewId="0">
      <selection activeCell="H51" sqref="H51"/>
    </sheetView>
  </sheetViews>
  <sheetFormatPr baseColWidth="10" defaultRowHeight="14.25"/>
  <cols>
    <col min="1" max="1" width="30.25" customWidth="1"/>
    <col min="2" max="4" width="19" customWidth="1"/>
    <col min="5" max="5" width="10.625" customWidth="1"/>
    <col min="6" max="8" width="19" customWidth="1"/>
  </cols>
  <sheetData>
    <row r="1" spans="1:8">
      <c r="A1" s="3"/>
      <c r="B1" s="52" t="s">
        <v>10</v>
      </c>
      <c r="C1" s="52"/>
      <c r="D1" s="52"/>
      <c r="E1" s="11"/>
      <c r="F1" s="53" t="s">
        <v>11</v>
      </c>
      <c r="G1" s="53"/>
      <c r="H1" s="53"/>
    </row>
    <row r="2" spans="1:8">
      <c r="A2" s="3"/>
      <c r="B2" s="3" t="str">
        <f>Einstellungen!B4</f>
        <v>Ergebnis 2020</v>
      </c>
      <c r="C2" s="3" t="str">
        <f>Einstellungen!C4</f>
        <v>Ansatz 2022</v>
      </c>
      <c r="D2" s="3" t="str">
        <f>Einstellungen!D4</f>
        <v>Ansatz 2021</v>
      </c>
      <c r="E2" s="11"/>
      <c r="F2" s="5" t="str">
        <f>$B$2</f>
        <v>Ergebnis 2020</v>
      </c>
      <c r="G2" s="5" t="str">
        <f>$C$2</f>
        <v>Ansatz 2022</v>
      </c>
      <c r="H2" s="5" t="str">
        <f>$D$2</f>
        <v>Ansatz 2021</v>
      </c>
    </row>
    <row r="3" spans="1:8">
      <c r="A3" s="22" t="s">
        <v>171</v>
      </c>
      <c r="B3" s="22"/>
      <c r="C3" s="22"/>
      <c r="D3" s="22"/>
      <c r="E3" s="22"/>
      <c r="F3" s="22"/>
      <c r="G3" s="22"/>
      <c r="H3" s="22"/>
    </row>
    <row r="4" spans="1:8">
      <c r="A4" s="22" t="s">
        <v>282</v>
      </c>
      <c r="B4" s="18">
        <v>0</v>
      </c>
      <c r="C4" s="18">
        <v>0</v>
      </c>
      <c r="D4" s="18">
        <v>0</v>
      </c>
      <c r="E4" s="14"/>
      <c r="F4" s="18">
        <v>11400</v>
      </c>
      <c r="G4" s="18">
        <v>15435</v>
      </c>
      <c r="H4" s="18">
        <v>15435</v>
      </c>
    </row>
    <row r="5" spans="1:8">
      <c r="A5" s="22" t="s">
        <v>283</v>
      </c>
      <c r="B5" s="18">
        <v>0</v>
      </c>
      <c r="C5" s="18">
        <v>0</v>
      </c>
      <c r="D5" s="18">
        <v>0</v>
      </c>
      <c r="E5" s="14"/>
      <c r="F5" s="18">
        <f>SUM(14.9,985.8)</f>
        <v>1000.6999999999999</v>
      </c>
      <c r="G5" s="18">
        <v>1600</v>
      </c>
      <c r="H5" s="18">
        <v>1600</v>
      </c>
    </row>
    <row r="6" spans="1:8">
      <c r="A6" s="22" t="s">
        <v>284</v>
      </c>
      <c r="B6" s="18">
        <v>0</v>
      </c>
      <c r="C6" s="18">
        <v>0</v>
      </c>
      <c r="D6" s="18">
        <v>0</v>
      </c>
      <c r="E6" s="14"/>
      <c r="F6" s="18">
        <v>220</v>
      </c>
      <c r="G6" s="18">
        <v>0</v>
      </c>
      <c r="H6" s="18">
        <v>0</v>
      </c>
    </row>
    <row r="7" spans="1:8">
      <c r="A7" s="22" t="s">
        <v>285</v>
      </c>
      <c r="B7" s="18">
        <v>188</v>
      </c>
      <c r="C7" s="18">
        <v>0</v>
      </c>
      <c r="D7" s="18">
        <v>0</v>
      </c>
      <c r="E7" s="18"/>
      <c r="F7" s="18">
        <f>SUM(1796.4,232,1451.22)</f>
        <v>3479.62</v>
      </c>
      <c r="G7" s="18">
        <v>1545</v>
      </c>
      <c r="H7" s="18">
        <v>1545</v>
      </c>
    </row>
    <row r="8" spans="1:8" ht="15">
      <c r="A8" s="32" t="s">
        <v>117</v>
      </c>
      <c r="B8" s="33">
        <f>SUM(B4:B7)</f>
        <v>188</v>
      </c>
      <c r="C8" s="33">
        <f>SUM(C4:C7)</f>
        <v>0</v>
      </c>
      <c r="D8" s="33">
        <f>SUM(D4:D7)</f>
        <v>0</v>
      </c>
      <c r="E8" s="35" t="s">
        <v>118</v>
      </c>
      <c r="F8" s="33">
        <f>SUM(F4:F7)</f>
        <v>16100.32</v>
      </c>
      <c r="G8" s="33">
        <f>SUM(G4:G7)</f>
        <v>18580</v>
      </c>
      <c r="H8" s="33">
        <f>SUM(H4:H7)</f>
        <v>18580</v>
      </c>
    </row>
    <row r="9" spans="1:8">
      <c r="A9" s="22" t="s">
        <v>209</v>
      </c>
      <c r="B9" s="22"/>
      <c r="C9" s="22"/>
      <c r="D9" s="22"/>
      <c r="E9" s="22"/>
      <c r="F9" s="22"/>
      <c r="G9" s="22"/>
      <c r="H9" s="22"/>
    </row>
    <row r="10" spans="1:8">
      <c r="A10" s="22" t="s">
        <v>286</v>
      </c>
      <c r="B10" s="18">
        <v>0</v>
      </c>
      <c r="C10" s="18">
        <v>0</v>
      </c>
      <c r="D10" s="18">
        <v>0</v>
      </c>
      <c r="E10" s="14"/>
      <c r="F10" s="18">
        <v>6561.25</v>
      </c>
      <c r="G10" s="42">
        <v>6615</v>
      </c>
      <c r="H10" s="18">
        <v>6615</v>
      </c>
    </row>
    <row r="11" spans="1:8">
      <c r="A11" s="22" t="s">
        <v>287</v>
      </c>
      <c r="B11" s="18">
        <v>0</v>
      </c>
      <c r="C11" s="18">
        <v>0</v>
      </c>
      <c r="D11" s="18">
        <v>0</v>
      </c>
      <c r="E11" s="14"/>
      <c r="F11" s="18">
        <f>SUM(789.94,110)</f>
        <v>899.94</v>
      </c>
      <c r="G11" s="42">
        <v>0</v>
      </c>
      <c r="H11" s="18">
        <v>0</v>
      </c>
    </row>
    <row r="12" spans="1:8">
      <c r="A12" s="22" t="s">
        <v>288</v>
      </c>
      <c r="B12" s="18">
        <v>0</v>
      </c>
      <c r="C12" s="18">
        <v>0</v>
      </c>
      <c r="D12" s="18">
        <v>0</v>
      </c>
      <c r="E12" s="14"/>
      <c r="F12" s="18">
        <v>0</v>
      </c>
      <c r="G12" s="42">
        <v>0</v>
      </c>
      <c r="H12" s="18">
        <v>0</v>
      </c>
    </row>
    <row r="13" spans="1:8">
      <c r="A13" s="22" t="s">
        <v>289</v>
      </c>
      <c r="B13" s="18">
        <v>0</v>
      </c>
      <c r="C13" s="18">
        <v>0</v>
      </c>
      <c r="D13" s="18">
        <v>0</v>
      </c>
      <c r="E13" s="18"/>
      <c r="F13" s="18">
        <f>SUM(2484.45,180,215.46,1011.03)</f>
        <v>3890.9399999999996</v>
      </c>
      <c r="G13" s="42">
        <v>4585</v>
      </c>
      <c r="H13" s="18">
        <v>4585</v>
      </c>
    </row>
    <row r="14" spans="1:8" ht="15">
      <c r="A14" s="32" t="s">
        <v>311</v>
      </c>
      <c r="B14" s="33">
        <f>SUM(B10:B13)</f>
        <v>0</v>
      </c>
      <c r="C14" s="33">
        <f>SUM(C10:C13)</f>
        <v>0</v>
      </c>
      <c r="D14" s="33">
        <f>SUM(D10:D13)</f>
        <v>0</v>
      </c>
      <c r="E14" s="35" t="s">
        <v>119</v>
      </c>
      <c r="F14" s="33">
        <f>SUM(F10:F13)</f>
        <v>11352.130000000001</v>
      </c>
      <c r="G14" s="33">
        <f>SUM(G10:G13)</f>
        <v>11200</v>
      </c>
      <c r="H14" s="33">
        <f>SUM(H10:H13)</f>
        <v>11200</v>
      </c>
    </row>
    <row r="15" spans="1:8">
      <c r="A15" s="22" t="s">
        <v>173</v>
      </c>
      <c r="B15" s="22"/>
      <c r="C15" s="22"/>
      <c r="D15" s="22"/>
      <c r="E15" s="22"/>
      <c r="F15" s="22"/>
      <c r="G15" s="22"/>
      <c r="H15" s="22"/>
    </row>
    <row r="16" spans="1:8">
      <c r="A16" s="22" t="s">
        <v>290</v>
      </c>
      <c r="B16" s="13">
        <v>0</v>
      </c>
      <c r="C16" s="13">
        <v>0</v>
      </c>
      <c r="D16" s="13">
        <v>0</v>
      </c>
      <c r="E16" s="13"/>
      <c r="F16" s="13">
        <v>6200</v>
      </c>
      <c r="G16" s="13">
        <v>6615</v>
      </c>
      <c r="H16" s="13">
        <v>6615</v>
      </c>
    </row>
    <row r="17" spans="1:8">
      <c r="A17" s="22" t="s">
        <v>291</v>
      </c>
      <c r="B17" s="13">
        <v>0</v>
      </c>
      <c r="C17" s="13">
        <v>0</v>
      </c>
      <c r="D17" s="13">
        <v>0</v>
      </c>
      <c r="E17" s="13"/>
      <c r="F17" s="13">
        <v>633.16</v>
      </c>
      <c r="G17" s="13">
        <v>300</v>
      </c>
      <c r="H17" s="13">
        <v>300</v>
      </c>
    </row>
    <row r="18" spans="1:8">
      <c r="A18" s="22" t="s">
        <v>292</v>
      </c>
      <c r="B18" s="13">
        <v>0</v>
      </c>
      <c r="C18" s="13">
        <v>0</v>
      </c>
      <c r="D18" s="13">
        <v>0</v>
      </c>
      <c r="E18" s="13"/>
      <c r="F18" s="13">
        <v>0</v>
      </c>
      <c r="G18" s="13">
        <v>0</v>
      </c>
      <c r="H18" s="13">
        <v>0</v>
      </c>
    </row>
    <row r="19" spans="1:8">
      <c r="A19" s="22" t="s">
        <v>293</v>
      </c>
      <c r="B19" s="13">
        <v>0</v>
      </c>
      <c r="C19" s="13">
        <v>0</v>
      </c>
      <c r="D19" s="13">
        <v>0</v>
      </c>
      <c r="E19" s="13"/>
      <c r="F19" s="13">
        <f>SUM(2955,270.93)</f>
        <v>3225.93</v>
      </c>
      <c r="G19" s="13">
        <v>5085</v>
      </c>
      <c r="H19" s="13">
        <v>5085</v>
      </c>
    </row>
    <row r="20" spans="1:8" ht="15">
      <c r="A20" s="32" t="s">
        <v>122</v>
      </c>
      <c r="B20" s="40">
        <f>SUM(B16:B19)</f>
        <v>0</v>
      </c>
      <c r="C20" s="40">
        <f>SUM(C16:C19)</f>
        <v>0</v>
      </c>
      <c r="D20" s="40">
        <f>SUM(D16:D19)</f>
        <v>0</v>
      </c>
      <c r="E20" s="43" t="s">
        <v>121</v>
      </c>
      <c r="F20" s="40">
        <f>SUM(F16:F19)</f>
        <v>10059.09</v>
      </c>
      <c r="G20" s="40">
        <f>SUM(G16:G19)</f>
        <v>12000</v>
      </c>
      <c r="H20" s="40">
        <f>SUM(H16:H19)</f>
        <v>12000</v>
      </c>
    </row>
    <row r="21" spans="1:8">
      <c r="A21" s="22" t="s">
        <v>181</v>
      </c>
      <c r="B21" s="22"/>
      <c r="C21" s="22"/>
      <c r="D21" s="22"/>
      <c r="E21" s="22"/>
      <c r="F21" s="22"/>
      <c r="G21" s="22"/>
      <c r="H21" s="22"/>
    </row>
    <row r="22" spans="1:8">
      <c r="A22" s="22" t="s">
        <v>294</v>
      </c>
      <c r="B22" s="18">
        <v>0</v>
      </c>
      <c r="C22" s="18">
        <v>0</v>
      </c>
      <c r="D22" s="18">
        <v>0</v>
      </c>
      <c r="E22" s="14"/>
      <c r="F22" s="18">
        <v>2700</v>
      </c>
      <c r="G22" s="18">
        <v>4680</v>
      </c>
      <c r="H22" s="18">
        <v>5410</v>
      </c>
    </row>
    <row r="23" spans="1:8">
      <c r="A23" s="22" t="s">
        <v>295</v>
      </c>
      <c r="B23" s="18">
        <v>0</v>
      </c>
      <c r="C23" s="18">
        <v>0</v>
      </c>
      <c r="D23" s="18">
        <v>0</v>
      </c>
      <c r="E23" s="14"/>
      <c r="F23" s="18">
        <v>0</v>
      </c>
      <c r="G23" s="18">
        <v>0</v>
      </c>
      <c r="H23" s="18">
        <v>0</v>
      </c>
    </row>
    <row r="24" spans="1:8">
      <c r="A24" s="22" t="s">
        <v>296</v>
      </c>
      <c r="B24" s="18">
        <v>0</v>
      </c>
      <c r="C24" s="18">
        <v>0</v>
      </c>
      <c r="D24" s="18">
        <v>0</v>
      </c>
      <c r="E24" s="14"/>
      <c r="F24" s="18">
        <v>0</v>
      </c>
      <c r="G24" s="18">
        <v>0</v>
      </c>
      <c r="H24" s="18">
        <v>0</v>
      </c>
    </row>
    <row r="25" spans="1:8">
      <c r="A25" s="22" t="s">
        <v>297</v>
      </c>
      <c r="B25" s="18">
        <v>0</v>
      </c>
      <c r="C25" s="18">
        <v>0</v>
      </c>
      <c r="D25" s="18">
        <v>0</v>
      </c>
      <c r="E25" s="18"/>
      <c r="F25" s="18">
        <f>SUM(2400,586.65)</f>
        <v>2986.65</v>
      </c>
      <c r="G25" s="18">
        <v>4070</v>
      </c>
      <c r="H25" s="18">
        <v>4070</v>
      </c>
    </row>
    <row r="26" spans="1:8" ht="15">
      <c r="A26" s="32" t="s">
        <v>123</v>
      </c>
      <c r="B26" s="33">
        <f>SUM(B22:B25)</f>
        <v>0</v>
      </c>
      <c r="C26" s="33">
        <f>SUM(C22:C25)</f>
        <v>0</v>
      </c>
      <c r="D26" s="33">
        <f>SUM(D22:D25)</f>
        <v>0</v>
      </c>
      <c r="E26" s="41" t="s">
        <v>120</v>
      </c>
      <c r="F26" s="33">
        <f>SUM(F22:F25)</f>
        <v>5686.65</v>
      </c>
      <c r="G26" s="33">
        <f>SUM(G22:G25)</f>
        <v>8750</v>
      </c>
      <c r="H26" s="33">
        <f>SUM(H22:H25)</f>
        <v>9480</v>
      </c>
    </row>
    <row r="27" spans="1:8">
      <c r="A27" s="22" t="s">
        <v>176</v>
      </c>
      <c r="B27" s="22"/>
      <c r="C27" s="22"/>
      <c r="D27" s="22"/>
      <c r="E27" s="22"/>
      <c r="F27" s="22"/>
      <c r="G27" s="22"/>
      <c r="H27" s="22"/>
    </row>
    <row r="28" spans="1:8">
      <c r="A28" s="22" t="s">
        <v>298</v>
      </c>
      <c r="B28" s="18">
        <v>0</v>
      </c>
      <c r="C28" s="18">
        <v>0</v>
      </c>
      <c r="D28" s="18">
        <v>0</v>
      </c>
      <c r="E28" s="14"/>
      <c r="F28" s="18">
        <v>0</v>
      </c>
      <c r="G28" s="18">
        <v>5410</v>
      </c>
      <c r="H28" s="18">
        <v>5410</v>
      </c>
    </row>
    <row r="29" spans="1:8">
      <c r="A29" s="22" t="s">
        <v>299</v>
      </c>
      <c r="B29" s="18">
        <v>0</v>
      </c>
      <c r="C29" s="18">
        <v>0</v>
      </c>
      <c r="D29" s="18">
        <v>0</v>
      </c>
      <c r="E29" s="14"/>
      <c r="F29" s="18">
        <v>0</v>
      </c>
      <c r="G29" s="18">
        <v>0</v>
      </c>
      <c r="H29" s="18">
        <v>0</v>
      </c>
    </row>
    <row r="30" spans="1:8">
      <c r="A30" s="22" t="s">
        <v>300</v>
      </c>
      <c r="B30" s="18">
        <v>0</v>
      </c>
      <c r="C30" s="18">
        <v>0</v>
      </c>
      <c r="D30" s="18">
        <v>0</v>
      </c>
      <c r="E30" s="14"/>
      <c r="F30" s="18">
        <v>0</v>
      </c>
      <c r="G30" s="18">
        <v>0</v>
      </c>
      <c r="H30" s="18">
        <v>0</v>
      </c>
    </row>
    <row r="31" spans="1:8">
      <c r="A31" s="22" t="s">
        <v>301</v>
      </c>
      <c r="B31" s="18">
        <v>0</v>
      </c>
      <c r="C31" s="18">
        <v>0</v>
      </c>
      <c r="D31" s="18">
        <v>0</v>
      </c>
      <c r="E31" s="18"/>
      <c r="F31" s="18">
        <f>SUM(3638.15,51.68)</f>
        <v>3689.83</v>
      </c>
      <c r="G31" s="18">
        <v>4070</v>
      </c>
      <c r="H31" s="18">
        <v>4070</v>
      </c>
    </row>
    <row r="32" spans="1:8" ht="15">
      <c r="A32" s="32" t="s">
        <v>124</v>
      </c>
      <c r="B32" s="33">
        <f>SUM(B28:B31)</f>
        <v>0</v>
      </c>
      <c r="C32" s="33">
        <f>SUM(C28:C31)</f>
        <v>0</v>
      </c>
      <c r="D32" s="33">
        <f>SUM(D28:D31)</f>
        <v>0</v>
      </c>
      <c r="E32" s="35" t="s">
        <v>125</v>
      </c>
      <c r="F32" s="33">
        <f>SUM(F28:F31)</f>
        <v>3689.83</v>
      </c>
      <c r="G32" s="33">
        <f>SUM(G28:G31)</f>
        <v>9480</v>
      </c>
      <c r="H32" s="33">
        <f>SUM(H28:H31)</f>
        <v>9480</v>
      </c>
    </row>
    <row r="33" spans="1:8">
      <c r="A33" s="22" t="s">
        <v>177</v>
      </c>
      <c r="B33" s="22"/>
      <c r="C33" s="22"/>
      <c r="D33" s="22"/>
      <c r="E33" s="22"/>
      <c r="F33" s="22"/>
      <c r="G33" s="22"/>
      <c r="H33" s="22"/>
    </row>
    <row r="34" spans="1:8">
      <c r="A34" s="22" t="s">
        <v>302</v>
      </c>
      <c r="B34" s="18">
        <v>0</v>
      </c>
      <c r="C34" s="18">
        <v>0</v>
      </c>
      <c r="D34" s="18">
        <v>0</v>
      </c>
      <c r="E34" s="14"/>
      <c r="F34" s="18">
        <v>8200</v>
      </c>
      <c r="G34" s="18">
        <v>11025</v>
      </c>
      <c r="H34" s="18">
        <v>11025</v>
      </c>
    </row>
    <row r="35" spans="1:8">
      <c r="A35" s="22" t="s">
        <v>303</v>
      </c>
      <c r="B35" s="18">
        <v>0</v>
      </c>
      <c r="C35" s="18">
        <v>0</v>
      </c>
      <c r="D35" s="18">
        <v>0</v>
      </c>
      <c r="E35" s="14"/>
      <c r="F35" s="18">
        <v>0</v>
      </c>
      <c r="G35" s="18">
        <v>0</v>
      </c>
      <c r="H35" s="18">
        <v>0</v>
      </c>
    </row>
    <row r="36" spans="1:8">
      <c r="A36" s="22" t="s">
        <v>304</v>
      </c>
      <c r="B36" s="18">
        <v>0</v>
      </c>
      <c r="C36" s="18">
        <v>0</v>
      </c>
      <c r="D36" s="18">
        <v>0</v>
      </c>
      <c r="E36" s="14"/>
      <c r="F36" s="18">
        <v>0</v>
      </c>
      <c r="G36" s="18">
        <v>0</v>
      </c>
      <c r="H36" s="18">
        <v>0</v>
      </c>
    </row>
    <row r="37" spans="1:8">
      <c r="A37" s="22" t="s">
        <v>305</v>
      </c>
      <c r="B37" s="18">
        <v>0</v>
      </c>
      <c r="C37" s="18">
        <v>0</v>
      </c>
      <c r="D37" s="18">
        <v>0</v>
      </c>
      <c r="E37" s="18"/>
      <c r="F37" s="18">
        <f>SUM(2277.3,85)</f>
        <v>2362.3000000000002</v>
      </c>
      <c r="G37" s="18">
        <v>2410</v>
      </c>
      <c r="H37" s="18">
        <v>2410</v>
      </c>
    </row>
    <row r="38" spans="1:8" ht="15">
      <c r="A38" s="32" t="s">
        <v>126</v>
      </c>
      <c r="B38" s="33">
        <f>SUM(B34:B37)</f>
        <v>0</v>
      </c>
      <c r="C38" s="33">
        <f>SUM(C34:C37)</f>
        <v>0</v>
      </c>
      <c r="D38" s="33">
        <f>SUM(D34:D37)</f>
        <v>0</v>
      </c>
      <c r="E38" s="35" t="s">
        <v>127</v>
      </c>
      <c r="F38" s="33">
        <f>SUM(F34:F37)</f>
        <v>10562.3</v>
      </c>
      <c r="G38" s="33">
        <f>SUM(G34:G37)</f>
        <v>13435</v>
      </c>
      <c r="H38" s="33">
        <f>SUM(H34:H37)</f>
        <v>13435</v>
      </c>
    </row>
    <row r="39" spans="1:8">
      <c r="A39" s="22" t="s">
        <v>210</v>
      </c>
      <c r="B39" s="22"/>
      <c r="C39" s="22"/>
      <c r="D39" s="22"/>
      <c r="E39" s="22"/>
      <c r="F39" s="22"/>
      <c r="G39" s="22"/>
      <c r="H39" s="22"/>
    </row>
    <row r="40" spans="1:8">
      <c r="A40" s="22" t="s">
        <v>306</v>
      </c>
      <c r="B40" s="18">
        <v>600</v>
      </c>
      <c r="C40" s="18">
        <v>0</v>
      </c>
      <c r="D40" s="18">
        <v>0</v>
      </c>
      <c r="E40" s="14"/>
      <c r="F40" s="18">
        <v>16552</v>
      </c>
      <c r="G40" s="18">
        <v>15435</v>
      </c>
      <c r="H40" s="18">
        <v>15435</v>
      </c>
    </row>
    <row r="41" spans="1:8">
      <c r="A41" s="22" t="s">
        <v>307</v>
      </c>
      <c r="B41" s="18">
        <v>0</v>
      </c>
      <c r="C41" s="18">
        <v>0</v>
      </c>
      <c r="D41" s="18">
        <v>0</v>
      </c>
      <c r="E41" s="14"/>
      <c r="F41" s="18">
        <v>86.4</v>
      </c>
      <c r="G41" s="18">
        <v>0</v>
      </c>
      <c r="H41" s="18">
        <v>0</v>
      </c>
    </row>
    <row r="42" spans="1:8">
      <c r="A42" s="22" t="s">
        <v>308</v>
      </c>
      <c r="B42" s="18">
        <v>0</v>
      </c>
      <c r="C42" s="18">
        <v>0</v>
      </c>
      <c r="D42" s="18">
        <v>0</v>
      </c>
      <c r="E42" s="14"/>
      <c r="F42" s="18">
        <v>0</v>
      </c>
      <c r="G42" s="18">
        <v>0</v>
      </c>
      <c r="H42" s="42">
        <v>0</v>
      </c>
    </row>
    <row r="43" spans="1:8">
      <c r="A43" s="22" t="s">
        <v>309</v>
      </c>
      <c r="B43" s="18">
        <v>0</v>
      </c>
      <c r="C43" s="18">
        <v>0</v>
      </c>
      <c r="D43" s="18">
        <v>0</v>
      </c>
      <c r="E43" s="18"/>
      <c r="F43" s="18">
        <v>1225.97</v>
      </c>
      <c r="G43" s="18">
        <v>1180</v>
      </c>
      <c r="H43" s="18">
        <v>1180</v>
      </c>
    </row>
    <row r="44" spans="1:8" ht="15">
      <c r="A44" s="32" t="s">
        <v>129</v>
      </c>
      <c r="B44" s="33">
        <f>SUM(B40:B43)</f>
        <v>600</v>
      </c>
      <c r="C44" s="33">
        <f>SUM(C40:C43)</f>
        <v>0</v>
      </c>
      <c r="D44" s="33">
        <f>SUM(D40:D43)</f>
        <v>0</v>
      </c>
      <c r="E44" s="35" t="s">
        <v>128</v>
      </c>
      <c r="F44" s="33">
        <f>SUM(F40:F43)</f>
        <v>17864.370000000003</v>
      </c>
      <c r="G44" s="33">
        <f>SUM(G40:G43)</f>
        <v>16615</v>
      </c>
      <c r="H44" s="33">
        <f>SUM(H40:H43)</f>
        <v>16615</v>
      </c>
    </row>
    <row r="45" spans="1:8" ht="15">
      <c r="A45" s="50"/>
      <c r="B45" s="50"/>
      <c r="C45" s="33"/>
      <c r="D45" s="33"/>
      <c r="E45" s="50"/>
      <c r="F45" s="50"/>
      <c r="G45" s="50"/>
      <c r="H45" s="50"/>
    </row>
    <row r="46" spans="1:8" ht="15">
      <c r="A46" s="49" t="s">
        <v>252</v>
      </c>
      <c r="B46" s="51">
        <f>SUM(B44,B38,B32,B26,B20,B14,B8)</f>
        <v>788</v>
      </c>
      <c r="C46" s="33">
        <f>SUM(C44,C38,C32,C26,C20,C14,C8)</f>
        <v>0</v>
      </c>
      <c r="D46" s="33">
        <f>SUM(D44,D38,D32,D26,D20,D14,D8)</f>
        <v>0</v>
      </c>
      <c r="E46" s="48"/>
      <c r="F46" s="51">
        <f>SUM(F44,F38,F32,F26,F20,F14,F8)</f>
        <v>75314.69</v>
      </c>
      <c r="G46" s="51">
        <f>SUM(G44,G38,G32,G26,G20,G14,G8)</f>
        <v>90060</v>
      </c>
      <c r="H46" s="51">
        <f>SUM(H8,H14,H20,H26,H32,H38,H44)</f>
        <v>90790</v>
      </c>
    </row>
  </sheetData>
  <mergeCells count="2">
    <mergeCell ref="B1:D1"/>
    <mergeCell ref="F1:H1"/>
  </mergeCells>
  <pageMargins left="0" right="0" top="0.39370078740157483" bottom="0.39370078740157483" header="0" footer="0"/>
  <pageSetup paperSize="9" scale="75" fitToWidth="0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F41" sqref="F41"/>
    </sheetView>
  </sheetViews>
  <sheetFormatPr baseColWidth="10" defaultRowHeight="14.25"/>
  <cols>
    <col min="1" max="1" width="30.25" customWidth="1"/>
    <col min="2" max="4" width="19" customWidth="1"/>
    <col min="5" max="5" width="10.625" customWidth="1"/>
    <col min="6" max="8" width="19" customWidth="1"/>
  </cols>
  <sheetData>
    <row r="1" spans="1:8">
      <c r="A1" s="3"/>
      <c r="B1" s="52" t="s">
        <v>10</v>
      </c>
      <c r="C1" s="52"/>
      <c r="D1" s="52"/>
      <c r="E1" s="11"/>
      <c r="F1" s="52" t="s">
        <v>11</v>
      </c>
      <c r="G1" s="52"/>
      <c r="H1" s="52"/>
    </row>
    <row r="2" spans="1:8">
      <c r="A2" s="3"/>
      <c r="B2" s="3" t="str">
        <f>Einstellungen!B4</f>
        <v>Ergebnis 2020</v>
      </c>
      <c r="C2" s="3" t="str">
        <f>Einstellungen!C4</f>
        <v>Ansatz 2022</v>
      </c>
      <c r="D2" s="3" t="str">
        <f>Einstellungen!D4</f>
        <v>Ansatz 2021</v>
      </c>
      <c r="E2" s="11"/>
      <c r="F2" s="3" t="str">
        <f>$B$2</f>
        <v>Ergebnis 2020</v>
      </c>
      <c r="G2" s="3" t="str">
        <f>$C$2</f>
        <v>Ansatz 2022</v>
      </c>
      <c r="H2" s="3" t="str">
        <f>$D$2</f>
        <v>Ansatz 2021</v>
      </c>
    </row>
    <row r="3" spans="1:8">
      <c r="A3" s="22" t="s">
        <v>161</v>
      </c>
      <c r="B3" s="22"/>
      <c r="C3" s="22"/>
      <c r="D3" s="22"/>
      <c r="E3" s="22"/>
      <c r="F3" s="22"/>
      <c r="G3" s="22"/>
      <c r="H3" s="22"/>
    </row>
    <row r="4" spans="1:8">
      <c r="A4" s="22" t="s">
        <v>130</v>
      </c>
      <c r="B4" s="18">
        <v>0</v>
      </c>
      <c r="C4" s="18">
        <v>0</v>
      </c>
      <c r="D4" s="18">
        <v>0</v>
      </c>
      <c r="E4" s="14"/>
      <c r="F4" s="18">
        <v>5890</v>
      </c>
      <c r="G4" s="18">
        <v>12000</v>
      </c>
      <c r="H4" s="18">
        <v>12000</v>
      </c>
    </row>
    <row r="5" spans="1:8">
      <c r="A5" s="22" t="s">
        <v>131</v>
      </c>
      <c r="B5" s="18">
        <v>0</v>
      </c>
      <c r="C5" s="18">
        <v>0</v>
      </c>
      <c r="D5" s="18">
        <v>0</v>
      </c>
      <c r="E5" s="18"/>
      <c r="F5" s="18">
        <v>0</v>
      </c>
      <c r="G5" s="18">
        <v>2000</v>
      </c>
      <c r="H5" s="18">
        <v>2000</v>
      </c>
    </row>
    <row r="6" spans="1:8" ht="15">
      <c r="A6" s="32" t="s">
        <v>132</v>
      </c>
      <c r="B6" s="33">
        <f>SUM(B4:B5)</f>
        <v>0</v>
      </c>
      <c r="C6" s="33">
        <f>SUM(C4:C5)</f>
        <v>0</v>
      </c>
      <c r="D6" s="33">
        <f>SUM(D4:D5)</f>
        <v>0</v>
      </c>
      <c r="E6" s="35" t="s">
        <v>136</v>
      </c>
      <c r="F6" s="33">
        <f>SUM(F4:F5)</f>
        <v>5890</v>
      </c>
      <c r="G6" s="33">
        <f>SUM(G4:G5)</f>
        <v>14000</v>
      </c>
      <c r="H6" s="33">
        <f>SUM(H4:H5)</f>
        <v>14000</v>
      </c>
    </row>
    <row r="7" spans="1:8">
      <c r="A7" s="22" t="s">
        <v>211</v>
      </c>
      <c r="B7" s="22"/>
      <c r="C7" s="22"/>
      <c r="D7" s="22"/>
      <c r="E7" s="22"/>
      <c r="F7" s="22"/>
      <c r="G7" s="22"/>
      <c r="H7" s="22"/>
    </row>
    <row r="8" spans="1:8">
      <c r="A8" s="22" t="s">
        <v>142</v>
      </c>
      <c r="B8" s="18">
        <v>0</v>
      </c>
      <c r="C8" s="18">
        <v>0</v>
      </c>
      <c r="D8" s="18">
        <v>0</v>
      </c>
      <c r="E8" s="14"/>
      <c r="F8" s="18">
        <f>Stellenplan!G29</f>
        <v>0</v>
      </c>
      <c r="G8" s="18">
        <v>0</v>
      </c>
      <c r="H8" s="18">
        <v>0</v>
      </c>
    </row>
    <row r="9" spans="1:8">
      <c r="A9" s="22" t="s">
        <v>143</v>
      </c>
      <c r="B9" s="18">
        <v>0</v>
      </c>
      <c r="C9" s="18">
        <v>0</v>
      </c>
      <c r="D9" s="18">
        <v>0</v>
      </c>
      <c r="E9" s="14"/>
      <c r="F9" s="18">
        <v>0</v>
      </c>
      <c r="G9" s="18">
        <v>1000</v>
      </c>
      <c r="H9" s="18">
        <v>1000</v>
      </c>
    </row>
    <row r="10" spans="1:8">
      <c r="A10" s="22" t="s">
        <v>144</v>
      </c>
      <c r="B10" s="18">
        <v>0</v>
      </c>
      <c r="C10" s="18">
        <v>0</v>
      </c>
      <c r="D10" s="18">
        <v>0</v>
      </c>
      <c r="E10" s="14"/>
      <c r="F10" s="18">
        <v>0</v>
      </c>
      <c r="G10" s="18">
        <v>0</v>
      </c>
      <c r="H10" s="18">
        <v>0</v>
      </c>
    </row>
    <row r="11" spans="1:8">
      <c r="A11" s="22" t="s">
        <v>145</v>
      </c>
      <c r="B11" s="18">
        <v>0</v>
      </c>
      <c r="C11" s="18">
        <v>0</v>
      </c>
      <c r="D11" s="18">
        <v>0</v>
      </c>
      <c r="E11" s="18"/>
      <c r="F11" s="18">
        <v>482</v>
      </c>
      <c r="G11" s="18">
        <v>3000</v>
      </c>
      <c r="H11" s="18">
        <v>3000</v>
      </c>
    </row>
    <row r="12" spans="1:8" ht="15">
      <c r="A12" s="32" t="s">
        <v>135</v>
      </c>
      <c r="B12" s="33">
        <f>SUM(B8:B11)</f>
        <v>0</v>
      </c>
      <c r="C12" s="33">
        <f>SUM(C8:C11)</f>
        <v>0</v>
      </c>
      <c r="D12" s="33">
        <f>SUM(D8:D11)</f>
        <v>0</v>
      </c>
      <c r="E12" s="35" t="s">
        <v>137</v>
      </c>
      <c r="F12" s="33">
        <f>SUM(F8:F11)</f>
        <v>482</v>
      </c>
      <c r="G12" s="33">
        <f>SUM(G8:G11)</f>
        <v>4000</v>
      </c>
      <c r="H12" s="33">
        <f>SUM(H8:H11)</f>
        <v>4000</v>
      </c>
    </row>
    <row r="13" spans="1:8">
      <c r="A13" s="22" t="s">
        <v>212</v>
      </c>
      <c r="B13" s="22"/>
      <c r="C13" s="22"/>
      <c r="D13" s="22"/>
      <c r="E13" s="22"/>
      <c r="F13" s="22"/>
      <c r="G13" s="22"/>
      <c r="H13" s="22"/>
    </row>
    <row r="14" spans="1:8">
      <c r="A14" s="22" t="s">
        <v>146</v>
      </c>
      <c r="B14" s="18">
        <v>0</v>
      </c>
      <c r="C14" s="18">
        <v>0</v>
      </c>
      <c r="D14" s="18">
        <v>0</v>
      </c>
      <c r="E14" s="14"/>
      <c r="F14" s="18">
        <f>Stellenplan!G36</f>
        <v>0</v>
      </c>
      <c r="G14" s="18">
        <v>0</v>
      </c>
      <c r="H14" s="18">
        <v>0</v>
      </c>
    </row>
    <row r="15" spans="1:8">
      <c r="A15" s="22" t="s">
        <v>147</v>
      </c>
      <c r="B15" s="18">
        <v>0</v>
      </c>
      <c r="C15" s="18">
        <v>0</v>
      </c>
      <c r="D15" s="18">
        <v>0</v>
      </c>
      <c r="E15" s="14"/>
      <c r="F15" s="18">
        <v>0</v>
      </c>
      <c r="G15" s="18">
        <v>0</v>
      </c>
      <c r="H15" s="18">
        <v>0</v>
      </c>
    </row>
    <row r="16" spans="1:8">
      <c r="A16" s="22" t="s">
        <v>148</v>
      </c>
      <c r="B16" s="18">
        <f>SUM(3110,306.65)</f>
        <v>3416.65</v>
      </c>
      <c r="C16" s="18">
        <v>0</v>
      </c>
      <c r="D16" s="18">
        <v>0</v>
      </c>
      <c r="E16" s="18"/>
      <c r="F16" s="18">
        <f>SUM(4174.01,147.89,600)</f>
        <v>4921.9000000000005</v>
      </c>
      <c r="G16" s="18">
        <v>10000</v>
      </c>
      <c r="H16" s="18">
        <v>10000</v>
      </c>
    </row>
    <row r="17" spans="1:8" ht="15">
      <c r="A17" s="32" t="s">
        <v>134</v>
      </c>
      <c r="B17" s="33">
        <f>SUM(B14:B16)</f>
        <v>3416.65</v>
      </c>
      <c r="C17" s="33">
        <f>SUM(C14:C16)</f>
        <v>0</v>
      </c>
      <c r="D17" s="33">
        <f>SUM(D14:D16)</f>
        <v>0</v>
      </c>
      <c r="E17" s="41" t="s">
        <v>133</v>
      </c>
      <c r="F17" s="33">
        <f>SUM(F14:F16)</f>
        <v>4921.9000000000005</v>
      </c>
      <c r="G17" s="33">
        <f>SUM(G14:G16)</f>
        <v>10000</v>
      </c>
      <c r="H17" s="33">
        <f>SUM(H14:H16)</f>
        <v>10000</v>
      </c>
    </row>
    <row r="18" spans="1:8">
      <c r="A18" s="22" t="s">
        <v>168</v>
      </c>
      <c r="B18" s="22"/>
      <c r="C18" s="22"/>
      <c r="D18" s="22"/>
      <c r="E18" s="22"/>
      <c r="F18" s="22"/>
      <c r="G18" s="22"/>
      <c r="H18" s="22"/>
    </row>
    <row r="19" spans="1:8">
      <c r="A19" s="22" t="s">
        <v>149</v>
      </c>
      <c r="B19" s="18">
        <v>0</v>
      </c>
      <c r="C19" s="18">
        <v>0</v>
      </c>
      <c r="D19" s="18">
        <v>0</v>
      </c>
      <c r="E19" s="14"/>
      <c r="F19" s="16">
        <v>0</v>
      </c>
      <c r="G19" s="18">
        <v>2500</v>
      </c>
      <c r="H19" s="18">
        <v>2500</v>
      </c>
    </row>
    <row r="20" spans="1:8">
      <c r="A20" s="22" t="s">
        <v>150</v>
      </c>
      <c r="B20" s="18">
        <v>0</v>
      </c>
      <c r="C20" s="18">
        <v>0</v>
      </c>
      <c r="D20" s="18">
        <v>0</v>
      </c>
      <c r="E20" s="14"/>
      <c r="F20" s="13">
        <v>219.5</v>
      </c>
      <c r="G20" s="18">
        <v>0</v>
      </c>
      <c r="H20" s="18">
        <v>0</v>
      </c>
    </row>
    <row r="21" spans="1:8">
      <c r="A21" s="22" t="s">
        <v>151</v>
      </c>
      <c r="B21" s="18">
        <v>0</v>
      </c>
      <c r="C21" s="18">
        <v>0</v>
      </c>
      <c r="D21" s="18">
        <v>0</v>
      </c>
      <c r="E21" s="14"/>
      <c r="F21" s="16">
        <v>0</v>
      </c>
      <c r="G21" s="18">
        <v>0</v>
      </c>
      <c r="H21" s="18">
        <v>0</v>
      </c>
    </row>
    <row r="22" spans="1:8">
      <c r="A22" s="22" t="s">
        <v>152</v>
      </c>
      <c r="B22" s="18">
        <v>2085.5500000000002</v>
      </c>
      <c r="C22" s="18">
        <v>0</v>
      </c>
      <c r="D22" s="18">
        <v>0</v>
      </c>
      <c r="E22" s="18"/>
      <c r="F22" s="13">
        <f>SUM(7353.31,200,799.2,4512.78,5541.37,1357.78)</f>
        <v>19764.439999999999</v>
      </c>
      <c r="G22" s="18">
        <v>70000</v>
      </c>
      <c r="H22" s="18">
        <v>70000</v>
      </c>
    </row>
    <row r="23" spans="1:8" ht="15">
      <c r="A23" s="32" t="s">
        <v>139</v>
      </c>
      <c r="B23" s="33">
        <f>SUM(B19:B22)</f>
        <v>2085.5500000000002</v>
      </c>
      <c r="C23" s="33">
        <f>SUM(C19:C22)</f>
        <v>0</v>
      </c>
      <c r="D23" s="33">
        <f>SUM(D19:D22)</f>
        <v>0</v>
      </c>
      <c r="E23" s="35" t="s">
        <v>138</v>
      </c>
      <c r="F23" s="33">
        <f>SUM(F19:F22)</f>
        <v>19983.939999999999</v>
      </c>
      <c r="G23" s="33">
        <f>SUM(G19:G22)</f>
        <v>72500</v>
      </c>
      <c r="H23" s="33">
        <f>SUM(H19:H22)</f>
        <v>72500</v>
      </c>
    </row>
    <row r="24" spans="1:8">
      <c r="A24" s="22" t="s">
        <v>166</v>
      </c>
      <c r="B24" s="22"/>
      <c r="C24" s="22"/>
      <c r="D24" s="22"/>
      <c r="E24" s="22"/>
      <c r="F24" s="22"/>
      <c r="G24" s="22"/>
      <c r="H24" s="22"/>
    </row>
    <row r="25" spans="1:8">
      <c r="A25" s="22" t="s">
        <v>153</v>
      </c>
      <c r="B25" s="18">
        <v>0</v>
      </c>
      <c r="C25" s="18">
        <v>0</v>
      </c>
      <c r="D25" s="18">
        <v>0</v>
      </c>
      <c r="E25" s="14"/>
      <c r="F25" s="18">
        <v>0</v>
      </c>
      <c r="G25" s="18">
        <v>0</v>
      </c>
      <c r="H25" s="18">
        <v>0</v>
      </c>
    </row>
    <row r="26" spans="1:8">
      <c r="A26" s="22" t="s">
        <v>154</v>
      </c>
      <c r="B26" s="18">
        <v>0</v>
      </c>
      <c r="C26" s="18">
        <v>0</v>
      </c>
      <c r="D26" s="18">
        <v>0</v>
      </c>
      <c r="E26" s="14"/>
      <c r="F26" s="18">
        <v>0</v>
      </c>
      <c r="G26" s="18">
        <v>0</v>
      </c>
      <c r="H26" s="18">
        <v>0</v>
      </c>
    </row>
    <row r="27" spans="1:8">
      <c r="A27" s="22" t="s">
        <v>155</v>
      </c>
      <c r="B27" s="18">
        <v>0</v>
      </c>
      <c r="C27" s="18">
        <v>0</v>
      </c>
      <c r="D27" s="18">
        <v>0</v>
      </c>
      <c r="E27" s="14"/>
      <c r="F27" s="18">
        <v>0</v>
      </c>
      <c r="G27" s="18">
        <v>0</v>
      </c>
      <c r="H27" s="18">
        <v>0</v>
      </c>
    </row>
    <row r="28" spans="1:8">
      <c r="A28" s="22" t="s">
        <v>156</v>
      </c>
      <c r="B28" s="18">
        <v>0</v>
      </c>
      <c r="C28" s="18">
        <v>0</v>
      </c>
      <c r="D28" s="18">
        <v>0</v>
      </c>
      <c r="E28" s="14"/>
      <c r="F28" s="18">
        <v>0</v>
      </c>
      <c r="G28" s="18">
        <v>5000</v>
      </c>
      <c r="H28" s="18">
        <v>5000</v>
      </c>
    </row>
    <row r="29" spans="1:8">
      <c r="A29" s="22" t="s">
        <v>157</v>
      </c>
      <c r="B29" s="18">
        <v>0</v>
      </c>
      <c r="C29" s="18">
        <v>0</v>
      </c>
      <c r="D29" s="18">
        <v>0</v>
      </c>
      <c r="E29" s="18"/>
      <c r="F29" s="13">
        <v>0</v>
      </c>
      <c r="G29" s="18">
        <v>1000</v>
      </c>
      <c r="H29" s="18">
        <v>1000</v>
      </c>
    </row>
    <row r="30" spans="1:8" ht="15">
      <c r="A30" s="32" t="s">
        <v>140</v>
      </c>
      <c r="B30" s="33">
        <f>SUM(B25:B29)</f>
        <v>0</v>
      </c>
      <c r="C30" s="33">
        <f>SUM(C25:C29)</f>
        <v>0</v>
      </c>
      <c r="D30" s="33">
        <f>SUM(D25:D29)</f>
        <v>0</v>
      </c>
      <c r="E30" s="35" t="s">
        <v>141</v>
      </c>
      <c r="F30" s="33">
        <f>SUM(F25:F29)</f>
        <v>0</v>
      </c>
      <c r="G30" s="33">
        <f>SUM(G25:G29)</f>
        <v>6000</v>
      </c>
      <c r="H30" s="33">
        <f>SUM(H25:H29)</f>
        <v>6000</v>
      </c>
    </row>
    <row r="31" spans="1:8" ht="15">
      <c r="A31" s="27"/>
      <c r="B31" s="27"/>
      <c r="C31" s="33"/>
      <c r="D31" s="33"/>
      <c r="E31" s="27"/>
      <c r="F31" s="27"/>
      <c r="G31" s="27"/>
      <c r="H31" s="27"/>
    </row>
    <row r="32" spans="1:8" ht="15">
      <c r="A32" s="49" t="s">
        <v>158</v>
      </c>
      <c r="B32" s="48">
        <v>5502.2</v>
      </c>
      <c r="C32" s="33">
        <f t="shared" ref="C32" si="0">SUM(C27:C31)</f>
        <v>0</v>
      </c>
      <c r="D32" s="33">
        <f t="shared" ref="D32" si="1">SUM(D27:D31)</f>
        <v>0</v>
      </c>
      <c r="E32" s="48"/>
      <c r="F32" s="48">
        <v>31277.84</v>
      </c>
      <c r="G32" s="48">
        <v>59500</v>
      </c>
      <c r="H32" s="48">
        <v>106500</v>
      </c>
    </row>
    <row r="33" spans="1:8">
      <c r="A33" s="50"/>
      <c r="B33" s="50"/>
      <c r="C33" s="50"/>
      <c r="D33" s="50"/>
      <c r="E33" s="50"/>
      <c r="F33" s="50"/>
      <c r="G33" s="50"/>
      <c r="H33" s="50"/>
    </row>
    <row r="34" spans="1:8">
      <c r="A34" s="50" t="s">
        <v>310</v>
      </c>
      <c r="B34" s="48">
        <f>SUM(B32,'Kap 7000 AStA-AGen'!B46,'Kap 6000 autonome Referate'!B28,'Kap 5000 Kern-AStA'!B45,'Kap 1000-4000'!B47,'Kap 1000-4000'!B41,'Kap 1000-4000'!B35,'Kap 1000-4000'!B29,'Kap 1000-4000'!B22,'Kap 1000-4000'!B13)</f>
        <v>16264586.640000001</v>
      </c>
      <c r="C34" s="51">
        <f>SUM(C32,'Kap 7000 AStA-AGen'!C46,'Kap 6000 autonome Referate'!C28,'Kap 5000 Kern-AStA'!C45,'Kap 1000-4000'!C47,'Kap 1000-4000'!C41,'Kap 1000-4000'!C35,'Kap 1000-4000'!C29,'Kap 1000-4000'!C22,'Kap 1000-4000'!C13)</f>
        <v>11958417.5</v>
      </c>
      <c r="D34" s="48">
        <v>14455212.5</v>
      </c>
      <c r="E34" s="48"/>
      <c r="F34" s="48">
        <f>SUM(F32,'Kap 7000 AStA-AGen'!F46,'Kap 6000 autonome Referate'!F28,'Kap 5000 Kern-AStA'!F45,'Kap 1000-4000'!F13,'Kap 1000-4000'!F22,'Kap 1000-4000'!F29,'Kap 1000-4000'!F35,'Kap 1000-4000'!F41,'Kap 1000-4000'!F47)</f>
        <v>16264586.640000001</v>
      </c>
      <c r="G34" s="48">
        <f>SUM('Kap 8000 weitere Studierendensc'!G32,'Kap 7000 AStA-AGen'!G46,'Kap 6000 autonome Referate'!G28,'Kap 5000 Kern-AStA'!G45,'Kap 1000-4000'!G13,'Kap 1000-4000'!G22,'Kap 1000-4000'!G29,'Kap 1000-4000'!G35,'Kap 1000-4000'!G41,'Kap 1000-4000'!G47,)</f>
        <v>11958417.5</v>
      </c>
      <c r="H34" s="48">
        <f>SUM(H32,'Kap 7000 AStA-AGen'!H46,'Kap 6000 autonome Referate'!H28,'Kap 5000 Kern-AStA'!H45,'Kap 1000-4000'!H13,'Kap 1000-4000'!H22,'Kap 1000-4000'!H29,'Kap 1000-4000'!H35,'Kap 1000-4000'!H41,'Kap 1000-4000'!H47,)</f>
        <v>14455212.5</v>
      </c>
    </row>
  </sheetData>
  <mergeCells count="2">
    <mergeCell ref="B1:D1"/>
    <mergeCell ref="F1:H1"/>
  </mergeCells>
  <pageMargins left="0" right="0" top="0.39370078740157483" bottom="0.39370078740157483" header="0" footer="0"/>
  <pageSetup paperSize="9" scale="80" fitToWidth="0" fitToHeight="0" pageOrder="overThenDown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E40" sqref="E40"/>
    </sheetView>
  </sheetViews>
  <sheetFormatPr baseColWidth="10" defaultRowHeight="14.25"/>
  <cols>
    <col min="1" max="1" width="20" customWidth="1"/>
    <col min="2" max="2" width="28.25" customWidth="1"/>
    <col min="3" max="3" width="11.125" customWidth="1"/>
    <col min="4" max="4" width="6.75" customWidth="1"/>
    <col min="5" max="5" width="12.125" customWidth="1"/>
    <col min="6" max="6" width="15.375" customWidth="1"/>
    <col min="7" max="7" width="16.375" customWidth="1"/>
    <col min="8" max="8" width="15.375" customWidth="1"/>
  </cols>
  <sheetData>
    <row r="1" spans="1:8">
      <c r="A1" s="7" t="s">
        <v>159</v>
      </c>
      <c r="B1" s="7" t="s">
        <v>13</v>
      </c>
      <c r="C1" s="7" t="s">
        <v>14</v>
      </c>
      <c r="D1" s="7" t="s">
        <v>15</v>
      </c>
      <c r="E1" s="7" t="s">
        <v>16</v>
      </c>
      <c r="F1" s="7" t="s">
        <v>17</v>
      </c>
      <c r="G1" s="7" t="s">
        <v>18</v>
      </c>
      <c r="H1" s="7" t="s">
        <v>12</v>
      </c>
    </row>
    <row r="2" spans="1:8">
      <c r="A2" s="19">
        <v>0</v>
      </c>
      <c r="B2" s="8" t="s">
        <v>19</v>
      </c>
      <c r="C2" s="10">
        <f>SUM(D2:H2)</f>
        <v>72470</v>
      </c>
      <c r="D2" s="10">
        <v>0</v>
      </c>
      <c r="E2" s="10">
        <f>'Kap 8000 weitere Studierendensc'!G19</f>
        <v>2500</v>
      </c>
      <c r="F2" s="10">
        <v>0</v>
      </c>
      <c r="G2" s="10">
        <v>0</v>
      </c>
      <c r="H2" s="10">
        <f>C39-SUM(C3:C32)-E2</f>
        <v>69970</v>
      </c>
    </row>
    <row r="3" spans="1:8">
      <c r="A3" s="19">
        <v>1</v>
      </c>
      <c r="B3" s="8" t="s">
        <v>20</v>
      </c>
      <c r="C3" s="10">
        <f t="shared" ref="C3:C32" si="0">SUM(D3:H3)</f>
        <v>1</v>
      </c>
      <c r="D3" s="10">
        <v>0</v>
      </c>
      <c r="E3" s="10">
        <v>0</v>
      </c>
      <c r="F3" s="10">
        <v>0</v>
      </c>
      <c r="G3" s="10">
        <v>0</v>
      </c>
      <c r="H3" s="10">
        <v>1</v>
      </c>
    </row>
    <row r="4" spans="1:8">
      <c r="A4" s="19">
        <v>2</v>
      </c>
      <c r="B4" s="8" t="s">
        <v>21</v>
      </c>
      <c r="C4" s="10">
        <f t="shared" si="0"/>
        <v>1</v>
      </c>
      <c r="D4" s="10">
        <v>0</v>
      </c>
      <c r="E4" s="10">
        <v>0</v>
      </c>
      <c r="F4" s="10">
        <v>0</v>
      </c>
      <c r="G4" s="10">
        <v>0</v>
      </c>
      <c r="H4" s="10">
        <v>1</v>
      </c>
    </row>
    <row r="5" spans="1:8">
      <c r="A5" s="19">
        <v>3</v>
      </c>
      <c r="B5" s="8" t="s">
        <v>22</v>
      </c>
      <c r="C5" s="10">
        <f t="shared" si="0"/>
        <v>1</v>
      </c>
      <c r="D5" s="10">
        <v>0</v>
      </c>
      <c r="E5" s="10">
        <v>0</v>
      </c>
      <c r="F5" s="10">
        <v>0</v>
      </c>
      <c r="G5" s="10">
        <v>0</v>
      </c>
      <c r="H5" s="10">
        <v>1</v>
      </c>
    </row>
    <row r="6" spans="1:8">
      <c r="A6" s="19">
        <v>4</v>
      </c>
      <c r="B6" s="8" t="s">
        <v>23</v>
      </c>
      <c r="C6" s="10">
        <f t="shared" si="0"/>
        <v>1</v>
      </c>
      <c r="D6" s="10">
        <v>0</v>
      </c>
      <c r="E6" s="10">
        <v>0</v>
      </c>
      <c r="F6" s="10">
        <v>0</v>
      </c>
      <c r="G6" s="10">
        <v>0</v>
      </c>
      <c r="H6" s="10">
        <v>1</v>
      </c>
    </row>
    <row r="7" spans="1:8">
      <c r="A7" s="19">
        <v>5</v>
      </c>
      <c r="B7" s="8" t="s">
        <v>24</v>
      </c>
      <c r="C7" s="10">
        <f t="shared" si="0"/>
        <v>1</v>
      </c>
      <c r="D7" s="10">
        <v>0</v>
      </c>
      <c r="E7" s="10">
        <v>0</v>
      </c>
      <c r="F7" s="10">
        <v>0</v>
      </c>
      <c r="G7" s="10">
        <v>0</v>
      </c>
      <c r="H7" s="10">
        <v>1</v>
      </c>
    </row>
    <row r="8" spans="1:8">
      <c r="A8" s="19">
        <v>6</v>
      </c>
      <c r="B8" s="8" t="s">
        <v>25</v>
      </c>
      <c r="C8" s="10">
        <f t="shared" si="0"/>
        <v>1</v>
      </c>
      <c r="D8" s="10">
        <v>0</v>
      </c>
      <c r="E8" s="10">
        <v>0</v>
      </c>
      <c r="F8" s="10">
        <v>0</v>
      </c>
      <c r="G8" s="10">
        <v>0</v>
      </c>
      <c r="H8" s="10">
        <v>1</v>
      </c>
    </row>
    <row r="9" spans="1:8">
      <c r="A9" s="19">
        <v>7</v>
      </c>
      <c r="B9" s="8" t="s">
        <v>26</v>
      </c>
      <c r="C9" s="10">
        <f t="shared" si="0"/>
        <v>1</v>
      </c>
      <c r="D9" s="10">
        <v>0</v>
      </c>
      <c r="E9" s="10">
        <v>0</v>
      </c>
      <c r="F9" s="10">
        <v>0</v>
      </c>
      <c r="G9" s="10">
        <v>0</v>
      </c>
      <c r="H9" s="10">
        <v>1</v>
      </c>
    </row>
    <row r="10" spans="1:8">
      <c r="A10" s="19">
        <v>8</v>
      </c>
      <c r="B10" s="8" t="s">
        <v>27</v>
      </c>
      <c r="C10" s="10">
        <f t="shared" si="0"/>
        <v>1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</row>
    <row r="11" spans="1:8">
      <c r="A11" s="19">
        <v>9</v>
      </c>
      <c r="B11" s="8" t="s">
        <v>28</v>
      </c>
      <c r="C11" s="10">
        <f t="shared" si="0"/>
        <v>1</v>
      </c>
      <c r="D11" s="10">
        <v>0</v>
      </c>
      <c r="E11" s="10">
        <v>0</v>
      </c>
      <c r="F11" s="10">
        <v>0</v>
      </c>
      <c r="G11" s="10">
        <v>0</v>
      </c>
      <c r="H11" s="10">
        <v>1</v>
      </c>
    </row>
    <row r="12" spans="1:8">
      <c r="A12" s="19">
        <v>10</v>
      </c>
      <c r="B12" s="8" t="s">
        <v>29</v>
      </c>
      <c r="C12" s="10">
        <f t="shared" si="0"/>
        <v>1</v>
      </c>
      <c r="D12" s="10">
        <v>0</v>
      </c>
      <c r="E12" s="10">
        <v>0</v>
      </c>
      <c r="F12" s="10">
        <v>0</v>
      </c>
      <c r="G12" s="10">
        <v>0</v>
      </c>
      <c r="H12" s="10">
        <v>1</v>
      </c>
    </row>
    <row r="13" spans="1:8">
      <c r="A13" s="19">
        <v>11</v>
      </c>
      <c r="B13" s="8" t="s">
        <v>30</v>
      </c>
      <c r="C13" s="10">
        <f t="shared" si="0"/>
        <v>1</v>
      </c>
      <c r="D13" s="10">
        <v>0</v>
      </c>
      <c r="E13" s="10">
        <v>0</v>
      </c>
      <c r="F13" s="10">
        <v>0</v>
      </c>
      <c r="G13" s="10">
        <v>0</v>
      </c>
      <c r="H13" s="10">
        <v>1</v>
      </c>
    </row>
    <row r="14" spans="1:8">
      <c r="A14" s="19">
        <v>12</v>
      </c>
      <c r="B14" s="8" t="s">
        <v>31</v>
      </c>
      <c r="C14" s="10">
        <f t="shared" si="0"/>
        <v>1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</row>
    <row r="15" spans="1:8">
      <c r="A15" s="19">
        <v>13</v>
      </c>
      <c r="B15" s="8" t="s">
        <v>32</v>
      </c>
      <c r="C15" s="10">
        <f t="shared" si="0"/>
        <v>1</v>
      </c>
      <c r="D15" s="10">
        <v>0</v>
      </c>
      <c r="E15" s="10">
        <v>0</v>
      </c>
      <c r="F15" s="10">
        <v>0</v>
      </c>
      <c r="G15" s="10">
        <v>0</v>
      </c>
      <c r="H15" s="10">
        <v>1</v>
      </c>
    </row>
    <row r="16" spans="1:8">
      <c r="A16" s="19">
        <v>14</v>
      </c>
      <c r="B16" s="8" t="s">
        <v>33</v>
      </c>
      <c r="C16" s="10">
        <f t="shared" si="0"/>
        <v>1</v>
      </c>
      <c r="D16" s="10">
        <v>0</v>
      </c>
      <c r="E16" s="10">
        <v>0</v>
      </c>
      <c r="F16" s="10">
        <v>0</v>
      </c>
      <c r="G16" s="10">
        <v>0</v>
      </c>
      <c r="H16" s="10">
        <v>1</v>
      </c>
    </row>
    <row r="17" spans="1:8">
      <c r="A17" s="19">
        <v>15</v>
      </c>
      <c r="B17" s="8" t="s">
        <v>34</v>
      </c>
      <c r="C17" s="10">
        <f t="shared" si="0"/>
        <v>1</v>
      </c>
      <c r="D17" s="10">
        <v>0</v>
      </c>
      <c r="E17" s="10">
        <v>0</v>
      </c>
      <c r="F17" s="10">
        <v>0</v>
      </c>
      <c r="G17" s="10">
        <v>0</v>
      </c>
      <c r="H17" s="10">
        <v>1</v>
      </c>
    </row>
    <row r="18" spans="1:8">
      <c r="A18" s="19">
        <v>16</v>
      </c>
      <c r="B18" s="8" t="s">
        <v>35</v>
      </c>
      <c r="C18" s="10">
        <f t="shared" si="0"/>
        <v>1</v>
      </c>
      <c r="D18" s="10">
        <v>0</v>
      </c>
      <c r="E18" s="10">
        <v>0</v>
      </c>
      <c r="F18" s="10">
        <v>0</v>
      </c>
      <c r="G18" s="10">
        <v>0</v>
      </c>
      <c r="H18" s="10">
        <v>1</v>
      </c>
    </row>
    <row r="19" spans="1:8">
      <c r="A19" s="19">
        <v>17</v>
      </c>
      <c r="B19" s="8" t="s">
        <v>36</v>
      </c>
      <c r="C19" s="10">
        <f t="shared" si="0"/>
        <v>1</v>
      </c>
      <c r="D19" s="10">
        <v>0</v>
      </c>
      <c r="E19" s="10">
        <v>0</v>
      </c>
      <c r="F19" s="10">
        <v>0</v>
      </c>
      <c r="G19" s="10">
        <v>0</v>
      </c>
      <c r="H19" s="10">
        <v>1</v>
      </c>
    </row>
    <row r="20" spans="1:8">
      <c r="A20" s="19">
        <v>18</v>
      </c>
      <c r="B20" s="8" t="s">
        <v>37</v>
      </c>
      <c r="C20" s="10">
        <f t="shared" si="0"/>
        <v>1</v>
      </c>
      <c r="D20" s="10">
        <v>0</v>
      </c>
      <c r="E20" s="10">
        <v>0</v>
      </c>
      <c r="F20" s="10">
        <v>0</v>
      </c>
      <c r="G20" s="10">
        <v>0</v>
      </c>
      <c r="H20" s="10">
        <v>1</v>
      </c>
    </row>
    <row r="21" spans="1:8">
      <c r="A21" s="19">
        <v>19</v>
      </c>
      <c r="B21" s="8" t="s">
        <v>38</v>
      </c>
      <c r="C21" s="10">
        <f t="shared" si="0"/>
        <v>1</v>
      </c>
      <c r="D21" s="10">
        <v>0</v>
      </c>
      <c r="E21" s="10">
        <v>0</v>
      </c>
      <c r="F21" s="10">
        <v>0</v>
      </c>
      <c r="G21" s="10">
        <v>0</v>
      </c>
      <c r="H21" s="10">
        <v>1</v>
      </c>
    </row>
    <row r="22" spans="1:8">
      <c r="A22" s="19">
        <v>20</v>
      </c>
      <c r="B22" s="8" t="s">
        <v>39</v>
      </c>
      <c r="C22" s="10">
        <f t="shared" si="0"/>
        <v>1</v>
      </c>
      <c r="D22" s="10">
        <v>0</v>
      </c>
      <c r="E22" s="10">
        <v>0</v>
      </c>
      <c r="F22" s="10">
        <v>0</v>
      </c>
      <c r="G22" s="10">
        <v>0</v>
      </c>
      <c r="H22" s="10">
        <v>1</v>
      </c>
    </row>
    <row r="23" spans="1:8">
      <c r="A23" s="19">
        <v>21</v>
      </c>
      <c r="B23" s="8" t="s">
        <v>40</v>
      </c>
      <c r="C23" s="10">
        <f t="shared" si="0"/>
        <v>1</v>
      </c>
      <c r="D23" s="10">
        <v>0</v>
      </c>
      <c r="E23" s="10">
        <v>0</v>
      </c>
      <c r="F23" s="10">
        <v>0</v>
      </c>
      <c r="G23" s="10">
        <v>0</v>
      </c>
      <c r="H23" s="10">
        <v>1</v>
      </c>
    </row>
    <row r="24" spans="1:8">
      <c r="A24" s="19">
        <v>22</v>
      </c>
      <c r="B24" s="8" t="s">
        <v>41</v>
      </c>
      <c r="C24" s="10">
        <f t="shared" si="0"/>
        <v>1</v>
      </c>
      <c r="D24" s="10">
        <v>0</v>
      </c>
      <c r="E24" s="10">
        <v>0</v>
      </c>
      <c r="F24" s="10">
        <v>0</v>
      </c>
      <c r="G24" s="10">
        <v>0</v>
      </c>
      <c r="H24" s="10">
        <v>1</v>
      </c>
    </row>
    <row r="25" spans="1:8">
      <c r="A25" s="19">
        <v>23</v>
      </c>
      <c r="B25" s="8" t="s">
        <v>42</v>
      </c>
      <c r="C25" s="10">
        <f t="shared" si="0"/>
        <v>1</v>
      </c>
      <c r="D25" s="10">
        <v>0</v>
      </c>
      <c r="E25" s="10">
        <v>0</v>
      </c>
      <c r="F25" s="10">
        <v>0</v>
      </c>
      <c r="G25" s="10">
        <v>0</v>
      </c>
      <c r="H25" s="10">
        <v>1</v>
      </c>
    </row>
    <row r="26" spans="1:8">
      <c r="A26" s="19">
        <v>24</v>
      </c>
      <c r="B26" s="8" t="s">
        <v>43</v>
      </c>
      <c r="C26" s="10">
        <f t="shared" si="0"/>
        <v>1</v>
      </c>
      <c r="D26" s="10">
        <v>0</v>
      </c>
      <c r="E26" s="10">
        <v>0</v>
      </c>
      <c r="F26" s="10">
        <v>0</v>
      </c>
      <c r="G26" s="10">
        <v>0</v>
      </c>
      <c r="H26" s="10">
        <v>1</v>
      </c>
    </row>
    <row r="27" spans="1:8">
      <c r="A27" s="19">
        <v>25</v>
      </c>
      <c r="B27" s="8" t="s">
        <v>44</v>
      </c>
      <c r="C27" s="10">
        <f t="shared" si="0"/>
        <v>1</v>
      </c>
      <c r="D27" s="10">
        <v>0</v>
      </c>
      <c r="E27" s="10">
        <v>0</v>
      </c>
      <c r="F27" s="10">
        <v>0</v>
      </c>
      <c r="G27" s="10">
        <v>0</v>
      </c>
      <c r="H27" s="10">
        <v>1</v>
      </c>
    </row>
    <row r="28" spans="1:8">
      <c r="A28" s="19">
        <v>26</v>
      </c>
      <c r="B28" s="8" t="s">
        <v>45</v>
      </c>
      <c r="C28" s="10">
        <f t="shared" si="0"/>
        <v>1</v>
      </c>
      <c r="D28" s="10">
        <v>0</v>
      </c>
      <c r="E28" s="10">
        <v>0</v>
      </c>
      <c r="F28" s="10">
        <v>0</v>
      </c>
      <c r="G28" s="10">
        <v>0</v>
      </c>
      <c r="H28" s="10">
        <v>1</v>
      </c>
    </row>
    <row r="29" spans="1:8">
      <c r="A29" s="19">
        <v>27</v>
      </c>
      <c r="B29" s="8" t="s">
        <v>46</v>
      </c>
      <c r="C29" s="10">
        <f t="shared" si="0"/>
        <v>1</v>
      </c>
      <c r="D29" s="10">
        <v>0</v>
      </c>
      <c r="E29" s="10">
        <v>0</v>
      </c>
      <c r="F29" s="10">
        <v>0</v>
      </c>
      <c r="G29" s="10">
        <v>0</v>
      </c>
      <c r="H29" s="10">
        <v>1</v>
      </c>
    </row>
    <row r="30" spans="1:8">
      <c r="A30" s="19">
        <v>28</v>
      </c>
      <c r="B30" s="8" t="s">
        <v>47</v>
      </c>
      <c r="C30" s="10">
        <f t="shared" si="0"/>
        <v>1</v>
      </c>
      <c r="D30" s="10">
        <v>0</v>
      </c>
      <c r="E30" s="10">
        <v>0</v>
      </c>
      <c r="F30" s="10">
        <v>0</v>
      </c>
      <c r="G30" s="10">
        <v>0</v>
      </c>
      <c r="H30" s="10">
        <v>1</v>
      </c>
    </row>
    <row r="31" spans="1:8">
      <c r="A31" s="19">
        <v>29</v>
      </c>
      <c r="B31" s="8" t="s">
        <v>45</v>
      </c>
      <c r="C31" s="10">
        <f t="shared" si="0"/>
        <v>1</v>
      </c>
      <c r="D31" s="10">
        <v>0</v>
      </c>
      <c r="E31" s="10">
        <v>0</v>
      </c>
      <c r="F31" s="10">
        <v>0</v>
      </c>
      <c r="G31" s="10">
        <v>0</v>
      </c>
      <c r="H31" s="10">
        <v>1</v>
      </c>
    </row>
    <row r="32" spans="1:8">
      <c r="A32" s="19">
        <v>30</v>
      </c>
      <c r="B32" s="8" t="s">
        <v>48</v>
      </c>
      <c r="C32" s="10">
        <f t="shared" si="0"/>
        <v>1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</row>
    <row r="33" spans="1:8">
      <c r="A33" s="8"/>
      <c r="B33" s="8"/>
      <c r="C33" s="10"/>
      <c r="D33" s="10"/>
      <c r="E33" s="10"/>
      <c r="F33" s="10"/>
      <c r="G33" s="10"/>
      <c r="H33" s="10"/>
    </row>
    <row r="34" spans="1:8">
      <c r="A34" s="8"/>
      <c r="B34" s="9" t="s">
        <v>49</v>
      </c>
      <c r="C34" s="10">
        <f t="shared" ref="C34:H34" si="1">SUM(C2:C32)</f>
        <v>72500</v>
      </c>
      <c r="D34" s="10">
        <f t="shared" si="1"/>
        <v>0</v>
      </c>
      <c r="E34" s="10">
        <f t="shared" si="1"/>
        <v>2500</v>
      </c>
      <c r="F34" s="10">
        <f t="shared" si="1"/>
        <v>0</v>
      </c>
      <c r="G34" s="10">
        <f t="shared" si="1"/>
        <v>0</v>
      </c>
      <c r="H34" s="10">
        <f t="shared" si="1"/>
        <v>70000</v>
      </c>
    </row>
    <row r="39" spans="1:8">
      <c r="B39" t="s">
        <v>50</v>
      </c>
      <c r="C39" s="6">
        <f>'Kap 8000 weitere Studierendensc'!G23</f>
        <v>72500</v>
      </c>
      <c r="E39">
        <f>'Kap 8000 weitere Studierendensc'!F19</f>
        <v>0</v>
      </c>
      <c r="H39">
        <f>'Kap 8000 weitere Studierendensc'!G22</f>
        <v>70000</v>
      </c>
    </row>
  </sheetData>
  <pageMargins left="0" right="0" top="0.39370078740157483" bottom="0.39370078740157483" header="0" footer="0"/>
  <pageSetup paperSize="9" scale="85" fitToWidth="0" fitToHeight="0" pageOrder="overThenDown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D33" sqref="D33"/>
    </sheetView>
  </sheetViews>
  <sheetFormatPr baseColWidth="10" defaultRowHeight="14.25"/>
  <cols>
    <col min="1" max="1" width="32.625" customWidth="1"/>
    <col min="2" max="2" width="24.125" customWidth="1"/>
    <col min="3" max="3" width="13.625" customWidth="1"/>
    <col min="4" max="4" width="15.125" customWidth="1"/>
    <col min="5" max="5" width="15.625" customWidth="1"/>
    <col min="6" max="6" width="15" customWidth="1"/>
    <col min="7" max="7" width="15.625" customWidth="1"/>
    <col min="8" max="12" width="10.75" customWidth="1"/>
  </cols>
  <sheetData>
    <row r="1" spans="1:12">
      <c r="A1" s="3"/>
      <c r="B1" s="3"/>
      <c r="C1" s="3"/>
      <c r="D1" s="3"/>
      <c r="E1" s="3"/>
      <c r="F1" s="3"/>
      <c r="G1" s="3" t="s">
        <v>51</v>
      </c>
      <c r="H1" s="3"/>
      <c r="I1" s="3"/>
      <c r="J1" s="3"/>
      <c r="K1" s="3"/>
      <c r="L1" s="3"/>
    </row>
    <row r="2" spans="1:12">
      <c r="A2" s="3"/>
      <c r="B2" s="2" t="s">
        <v>52</v>
      </c>
      <c r="C2" s="3" t="s">
        <v>53</v>
      </c>
      <c r="D2" s="3" t="s">
        <v>54</v>
      </c>
      <c r="E2" s="3" t="s">
        <v>55</v>
      </c>
      <c r="F2" s="3" t="s">
        <v>56</v>
      </c>
      <c r="G2" s="3"/>
      <c r="H2" s="3"/>
      <c r="I2" s="3"/>
      <c r="J2" s="3"/>
      <c r="K2" s="3"/>
      <c r="L2" s="3"/>
    </row>
    <row r="3" spans="1:12" ht="15">
      <c r="A3" s="3" t="s">
        <v>160</v>
      </c>
      <c r="B3" s="28">
        <v>1.25</v>
      </c>
      <c r="C3" s="4">
        <f>B3*B37</f>
        <v>918.75</v>
      </c>
      <c r="D3" s="4">
        <f t="shared" ref="D3:D6" si="0">C3*12</f>
        <v>11025</v>
      </c>
      <c r="E3" s="4">
        <v>0</v>
      </c>
      <c r="F3" s="4"/>
      <c r="G3" s="4">
        <f t="shared" ref="G3:G6" si="1">SUM(D3:F3)</f>
        <v>11025</v>
      </c>
      <c r="H3" s="3"/>
      <c r="I3" s="3"/>
      <c r="J3" s="3"/>
      <c r="K3" s="3"/>
      <c r="L3" s="3"/>
    </row>
    <row r="4" spans="1:12" ht="15">
      <c r="A4" s="5" t="s">
        <v>169</v>
      </c>
      <c r="B4" s="28">
        <v>0</v>
      </c>
      <c r="C4" s="4">
        <f>B4*B37</f>
        <v>0</v>
      </c>
      <c r="D4" s="4">
        <f>C4*12</f>
        <v>0</v>
      </c>
      <c r="E4" s="4">
        <v>1000</v>
      </c>
      <c r="F4" s="4"/>
      <c r="G4" s="4">
        <f>SUM(D4:F4)</f>
        <v>1000</v>
      </c>
      <c r="H4" s="3"/>
      <c r="I4" s="3"/>
      <c r="J4" s="3"/>
      <c r="K4" s="3"/>
      <c r="L4" s="3"/>
    </row>
    <row r="5" spans="1:12" ht="15">
      <c r="A5" s="3" t="s">
        <v>162</v>
      </c>
      <c r="B5" s="28">
        <v>9</v>
      </c>
      <c r="C5" s="4">
        <f>B5*B37</f>
        <v>6615</v>
      </c>
      <c r="D5" s="4">
        <f t="shared" si="0"/>
        <v>79380</v>
      </c>
      <c r="E5" s="4">
        <v>0</v>
      </c>
      <c r="F5" s="4"/>
      <c r="G5" s="4">
        <f t="shared" si="1"/>
        <v>79380</v>
      </c>
      <c r="H5" s="3"/>
      <c r="I5" s="3"/>
      <c r="J5" s="3"/>
      <c r="K5" s="3"/>
      <c r="L5" s="3"/>
    </row>
    <row r="6" spans="1:12" ht="15">
      <c r="A6" s="5" t="s">
        <v>163</v>
      </c>
      <c r="B6" s="28">
        <v>2</v>
      </c>
      <c r="C6" s="4">
        <f>B6*B37</f>
        <v>1470</v>
      </c>
      <c r="D6" s="4">
        <f t="shared" si="0"/>
        <v>17640</v>
      </c>
      <c r="E6" s="4">
        <v>6000</v>
      </c>
      <c r="F6" s="4"/>
      <c r="G6" s="4">
        <f t="shared" si="1"/>
        <v>23640</v>
      </c>
      <c r="H6" s="3"/>
      <c r="I6" s="3"/>
      <c r="J6" s="3"/>
      <c r="K6" s="3"/>
      <c r="L6" s="3"/>
    </row>
    <row r="7" spans="1:12" ht="15">
      <c r="A7" s="3" t="s">
        <v>178</v>
      </c>
      <c r="B7" s="28">
        <v>0.25</v>
      </c>
      <c r="C7" s="4">
        <f>B7*B37</f>
        <v>183.75</v>
      </c>
      <c r="D7" s="4">
        <f>C7*12</f>
        <v>2205</v>
      </c>
      <c r="E7" s="4">
        <v>0</v>
      </c>
      <c r="F7" s="4"/>
      <c r="G7" s="4">
        <f>SUM(D7:F7)</f>
        <v>2205</v>
      </c>
      <c r="H7" s="3"/>
      <c r="I7" s="3"/>
      <c r="J7" s="3"/>
      <c r="K7" s="3"/>
      <c r="L7" s="3"/>
    </row>
    <row r="8" spans="1:12" ht="15">
      <c r="A8" s="3" t="s">
        <v>179</v>
      </c>
      <c r="B8" s="28">
        <v>0</v>
      </c>
      <c r="C8" s="4">
        <f>B8*B37</f>
        <v>0</v>
      </c>
      <c r="D8" s="4">
        <f>C8*12</f>
        <v>0</v>
      </c>
      <c r="E8" s="4">
        <v>0</v>
      </c>
      <c r="F8" s="4"/>
      <c r="G8" s="4">
        <f>SUM(D8:F8)</f>
        <v>0</v>
      </c>
      <c r="H8" s="3"/>
      <c r="I8" s="3"/>
      <c r="J8" s="3"/>
      <c r="K8" s="3"/>
      <c r="L8" s="3"/>
    </row>
    <row r="9" spans="1:12" ht="15">
      <c r="A9" s="5" t="s">
        <v>175</v>
      </c>
      <c r="B9" s="28">
        <v>0</v>
      </c>
      <c r="C9" s="4">
        <f>B9*B37</f>
        <v>0</v>
      </c>
      <c r="D9" s="4">
        <f>C9*12</f>
        <v>0</v>
      </c>
      <c r="E9" s="4">
        <v>0</v>
      </c>
      <c r="F9" s="4"/>
      <c r="G9" s="4">
        <f>SUM(D9:F9)</f>
        <v>0</v>
      </c>
      <c r="H9" s="3"/>
      <c r="I9" s="3"/>
      <c r="J9" s="3"/>
      <c r="K9" s="3"/>
      <c r="L9" s="3"/>
    </row>
    <row r="10" spans="1:12" ht="15">
      <c r="B10" s="21"/>
      <c r="H10" s="3"/>
      <c r="I10" s="3"/>
      <c r="J10" s="3"/>
      <c r="K10" s="3"/>
      <c r="L10" s="3"/>
    </row>
    <row r="11" spans="1:12" ht="15">
      <c r="A11" s="5" t="s">
        <v>180</v>
      </c>
      <c r="B11" s="28">
        <v>2.5</v>
      </c>
      <c r="C11" s="4">
        <f>B11*B37</f>
        <v>1837.5</v>
      </c>
      <c r="D11" s="4">
        <f>C11*12</f>
        <v>22050</v>
      </c>
      <c r="E11" s="4">
        <v>0</v>
      </c>
      <c r="F11" s="4"/>
      <c r="G11" s="4">
        <f>SUM(D11:F11)</f>
        <v>22050</v>
      </c>
      <c r="H11" s="3"/>
      <c r="I11" s="3"/>
      <c r="J11" s="3"/>
      <c r="K11" s="3"/>
      <c r="L11" s="3"/>
    </row>
    <row r="12" spans="1:12" ht="15">
      <c r="A12" s="3" t="s">
        <v>165</v>
      </c>
      <c r="B12" s="28">
        <v>2.5</v>
      </c>
      <c r="C12" s="4">
        <f>B12*B37</f>
        <v>1837.5</v>
      </c>
      <c r="D12" s="4">
        <f>C12*12</f>
        <v>22050</v>
      </c>
      <c r="E12" s="4">
        <v>0</v>
      </c>
      <c r="F12" s="4"/>
      <c r="G12" s="4">
        <f>SUM(D12:F12)</f>
        <v>22050</v>
      </c>
      <c r="L12" s="3"/>
    </row>
    <row r="13" spans="1:12" ht="15">
      <c r="A13" s="5" t="s">
        <v>164</v>
      </c>
      <c r="B13" s="28">
        <v>2.5</v>
      </c>
      <c r="C13" s="4">
        <f>B13*B37</f>
        <v>1837.5</v>
      </c>
      <c r="D13" s="4">
        <f>C13*12</f>
        <v>22050</v>
      </c>
      <c r="E13" s="4">
        <v>0</v>
      </c>
      <c r="F13" s="4"/>
      <c r="G13" s="4">
        <f>SUM(D13:F13)</f>
        <v>22050</v>
      </c>
      <c r="H13" s="3"/>
      <c r="I13" s="3"/>
      <c r="J13" s="3"/>
      <c r="K13" s="3"/>
      <c r="L13" s="3"/>
    </row>
    <row r="14" spans="1:12" ht="15">
      <c r="A14" s="5" t="s">
        <v>174</v>
      </c>
      <c r="B14" s="28">
        <v>2.5</v>
      </c>
      <c r="C14" s="4">
        <f>B14*B37</f>
        <v>1837.5</v>
      </c>
      <c r="D14" s="4">
        <f>C14*12</f>
        <v>22050</v>
      </c>
      <c r="E14" s="4">
        <v>0</v>
      </c>
      <c r="F14" s="4"/>
      <c r="G14" s="4">
        <f>SUM(D14:F14)</f>
        <v>22050</v>
      </c>
      <c r="H14" s="3"/>
      <c r="I14" s="3"/>
      <c r="J14" s="3"/>
      <c r="K14" s="3"/>
      <c r="L14" s="3"/>
    </row>
    <row r="15" spans="1:12" ht="15">
      <c r="B15" s="21"/>
    </row>
    <row r="16" spans="1:12" ht="15">
      <c r="A16" s="5" t="s">
        <v>171</v>
      </c>
      <c r="B16" s="28">
        <v>1.75</v>
      </c>
      <c r="C16" s="4">
        <f>B16*B37</f>
        <v>1286.25</v>
      </c>
      <c r="D16" s="4">
        <f t="shared" ref="D16:D22" si="2">C16*12</f>
        <v>15435</v>
      </c>
      <c r="E16" s="4">
        <v>0</v>
      </c>
      <c r="F16" s="4"/>
      <c r="G16" s="4">
        <f t="shared" ref="G16:G22" si="3">SUM(D16:F16)</f>
        <v>15435</v>
      </c>
    </row>
    <row r="17" spans="1:12" ht="15">
      <c r="A17" s="3" t="s">
        <v>172</v>
      </c>
      <c r="B17" s="28">
        <v>0.75</v>
      </c>
      <c r="C17" s="4">
        <f>B17*B37</f>
        <v>551.25</v>
      </c>
      <c r="D17" s="4">
        <f t="shared" si="2"/>
        <v>6615</v>
      </c>
      <c r="E17" s="4">
        <v>0</v>
      </c>
      <c r="F17" s="4"/>
      <c r="G17" s="4">
        <f t="shared" si="3"/>
        <v>6615</v>
      </c>
    </row>
    <row r="18" spans="1:12" ht="15">
      <c r="A18" s="3" t="s">
        <v>173</v>
      </c>
      <c r="B18" s="28">
        <v>0.75</v>
      </c>
      <c r="C18" s="4">
        <f>B18*B37</f>
        <v>551.25</v>
      </c>
      <c r="D18" s="4">
        <f t="shared" si="2"/>
        <v>6615</v>
      </c>
      <c r="E18" s="4">
        <v>0</v>
      </c>
      <c r="F18" s="4"/>
      <c r="G18" s="4">
        <f t="shared" si="3"/>
        <v>6615</v>
      </c>
      <c r="H18" s="3"/>
      <c r="I18" s="3"/>
      <c r="J18" s="3"/>
      <c r="K18" s="3"/>
      <c r="L18" s="3"/>
    </row>
    <row r="19" spans="1:12" ht="15">
      <c r="A19" s="5" t="s">
        <v>181</v>
      </c>
      <c r="B19" s="28">
        <v>0.5</v>
      </c>
      <c r="C19" s="4">
        <f>B19*B37</f>
        <v>367.5</v>
      </c>
      <c r="D19" s="4">
        <f t="shared" si="2"/>
        <v>4410</v>
      </c>
      <c r="E19" s="4">
        <v>1000</v>
      </c>
      <c r="F19" s="4"/>
      <c r="G19" s="4">
        <f t="shared" si="3"/>
        <v>5410</v>
      </c>
      <c r="H19" s="3"/>
      <c r="I19" s="3"/>
      <c r="J19" s="3"/>
      <c r="K19" s="3"/>
      <c r="L19" s="3"/>
    </row>
    <row r="20" spans="1:12" ht="15">
      <c r="A20" s="3" t="s">
        <v>176</v>
      </c>
      <c r="B20" s="28">
        <v>0.5</v>
      </c>
      <c r="C20" s="4">
        <f>B20*B37</f>
        <v>367.5</v>
      </c>
      <c r="D20" s="4">
        <f t="shared" si="2"/>
        <v>4410</v>
      </c>
      <c r="E20" s="4">
        <v>1000</v>
      </c>
      <c r="F20" s="4"/>
      <c r="G20" s="4">
        <f t="shared" si="3"/>
        <v>5410</v>
      </c>
      <c r="L20" s="3"/>
    </row>
    <row r="21" spans="1:12" ht="15">
      <c r="A21" s="3" t="s">
        <v>177</v>
      </c>
      <c r="B21" s="28">
        <v>1.25</v>
      </c>
      <c r="C21" s="4">
        <f>B21*B37</f>
        <v>918.75</v>
      </c>
      <c r="D21" s="4">
        <f t="shared" si="2"/>
        <v>11025</v>
      </c>
      <c r="E21" s="4">
        <v>0</v>
      </c>
      <c r="F21" s="4"/>
      <c r="G21" s="4">
        <f t="shared" si="3"/>
        <v>11025</v>
      </c>
      <c r="H21" s="3"/>
      <c r="I21" s="3"/>
      <c r="J21" s="3"/>
      <c r="K21" s="3"/>
      <c r="L21" s="3"/>
    </row>
    <row r="22" spans="1:12" ht="15">
      <c r="A22" s="5" t="s">
        <v>170</v>
      </c>
      <c r="B22" s="28">
        <v>1.75</v>
      </c>
      <c r="C22" s="4">
        <f>B22*B37</f>
        <v>1286.25</v>
      </c>
      <c r="D22" s="4">
        <f t="shared" si="2"/>
        <v>15435</v>
      </c>
      <c r="E22" s="4">
        <v>0</v>
      </c>
      <c r="F22" s="4"/>
      <c r="G22" s="4">
        <f t="shared" si="3"/>
        <v>15435</v>
      </c>
    </row>
    <row r="23" spans="1:12" ht="15">
      <c r="B23" s="21"/>
    </row>
    <row r="24" spans="1:12" ht="15">
      <c r="A24" s="3" t="s">
        <v>161</v>
      </c>
      <c r="B24" s="28">
        <v>0</v>
      </c>
      <c r="C24" s="4">
        <f>B24*B37</f>
        <v>0</v>
      </c>
      <c r="D24" s="4">
        <f>C24*12</f>
        <v>0</v>
      </c>
      <c r="E24" s="4">
        <v>0</v>
      </c>
      <c r="F24" s="4">
        <v>8000</v>
      </c>
      <c r="G24" s="4">
        <f>SUM(D24:F24)</f>
        <v>8000</v>
      </c>
      <c r="H24" s="3"/>
      <c r="I24" s="3"/>
      <c r="J24" s="3"/>
      <c r="K24" s="3"/>
      <c r="L24" s="3"/>
    </row>
    <row r="25" spans="1:12" ht="15">
      <c r="A25" s="3" t="s">
        <v>182</v>
      </c>
      <c r="B25" s="28">
        <v>0</v>
      </c>
      <c r="C25" s="4">
        <f>B25*B37</f>
        <v>0</v>
      </c>
      <c r="D25" s="4">
        <f>C25*12</f>
        <v>0</v>
      </c>
      <c r="E25" s="4">
        <v>0</v>
      </c>
      <c r="F25" s="4"/>
      <c r="G25" s="4">
        <f>SUM(D25:F25)</f>
        <v>0</v>
      </c>
      <c r="H25" s="3"/>
      <c r="I25" s="3"/>
      <c r="J25" s="3"/>
      <c r="K25" s="3"/>
      <c r="L25" s="3"/>
    </row>
    <row r="26" spans="1:12" ht="15">
      <c r="A26" s="3" t="s">
        <v>183</v>
      </c>
      <c r="B26" s="28">
        <v>0</v>
      </c>
      <c r="C26" s="4">
        <f>B26*B37</f>
        <v>0</v>
      </c>
      <c r="D26" s="4">
        <f>C26*12</f>
        <v>0</v>
      </c>
      <c r="E26" s="4">
        <v>0</v>
      </c>
      <c r="F26" s="4"/>
      <c r="G26" s="4">
        <f>SUM(D26:F26)</f>
        <v>0</v>
      </c>
      <c r="H26" s="3"/>
      <c r="I26" s="3"/>
      <c r="J26" s="3"/>
      <c r="K26" s="3"/>
      <c r="L26" s="3"/>
    </row>
    <row r="27" spans="1:12" ht="15">
      <c r="A27" s="5" t="s">
        <v>168</v>
      </c>
      <c r="B27" s="28">
        <v>0</v>
      </c>
      <c r="C27" s="4">
        <f>B27*B37</f>
        <v>0</v>
      </c>
      <c r="D27" s="4">
        <f>C27*12</f>
        <v>0</v>
      </c>
      <c r="E27" s="4">
        <v>0</v>
      </c>
      <c r="F27" s="4"/>
      <c r="G27" s="4">
        <f>SUM(B27:F27)</f>
        <v>0</v>
      </c>
      <c r="H27" s="3"/>
      <c r="I27" s="3"/>
      <c r="J27" s="3"/>
      <c r="K27" s="3"/>
      <c r="L27" s="3"/>
    </row>
    <row r="28" spans="1:12" ht="15">
      <c r="A28" s="3" t="s">
        <v>166</v>
      </c>
      <c r="B28" s="28">
        <v>0</v>
      </c>
      <c r="C28" s="4">
        <f>B28*B37</f>
        <v>0</v>
      </c>
      <c r="D28" s="4">
        <f>C28*12</f>
        <v>0</v>
      </c>
      <c r="E28" s="4">
        <v>0</v>
      </c>
      <c r="F28" s="4"/>
      <c r="G28" s="4">
        <f>SUM(B28:F28)</f>
        <v>0</v>
      </c>
    </row>
    <row r="29" spans="1:12" ht="15">
      <c r="A29" s="5"/>
      <c r="B29" s="28"/>
      <c r="C29" s="1"/>
      <c r="D29" s="4"/>
      <c r="E29" s="4"/>
      <c r="F29" s="4"/>
      <c r="G29" s="4"/>
      <c r="H29" s="3"/>
      <c r="I29" s="3"/>
      <c r="J29" s="3"/>
      <c r="K29" s="3"/>
      <c r="L29" s="3"/>
    </row>
    <row r="30" spans="1:12" ht="15">
      <c r="A30" s="3" t="s">
        <v>167</v>
      </c>
      <c r="B30" s="28">
        <v>0</v>
      </c>
      <c r="C30" s="4">
        <f>B30*B37</f>
        <v>0</v>
      </c>
      <c r="D30" s="4">
        <f>C30*12</f>
        <v>0</v>
      </c>
      <c r="E30" s="4">
        <v>0</v>
      </c>
      <c r="F30" s="4"/>
      <c r="G30" s="4">
        <f>SUM(B30:F30)</f>
        <v>0</v>
      </c>
      <c r="H30" s="3"/>
      <c r="I30" s="3"/>
      <c r="J30" s="3"/>
      <c r="K30" s="3"/>
      <c r="L30" s="3"/>
    </row>
    <row r="31" spans="1:12">
      <c r="H31" s="3"/>
      <c r="I31" s="3"/>
      <c r="J31" s="3"/>
      <c r="K31" s="3"/>
      <c r="L31" s="3"/>
    </row>
    <row r="32" spans="1:12">
      <c r="H32" s="3"/>
      <c r="I32" s="3"/>
      <c r="J32" s="3"/>
      <c r="K32" s="3"/>
      <c r="L32" s="3"/>
    </row>
    <row r="33" spans="1:7">
      <c r="C33" s="1"/>
      <c r="D33" s="1"/>
      <c r="E33" s="1"/>
      <c r="F33" s="1"/>
      <c r="G33" s="1"/>
    </row>
    <row r="34" spans="1:7">
      <c r="B34" s="20">
        <f>SUM(B3:B33)</f>
        <v>29.75</v>
      </c>
      <c r="C34" s="4">
        <f>SUM(C1:C30)</f>
        <v>21866.25</v>
      </c>
      <c r="D34" s="4">
        <f>SUM(D1:D30)</f>
        <v>262395</v>
      </c>
      <c r="E34" s="4">
        <f>SUM(E1:E30)</f>
        <v>9000</v>
      </c>
      <c r="F34" s="4">
        <f>SUM(F1:F30)</f>
        <v>8000</v>
      </c>
      <c r="G34" s="4">
        <f>SUM(G1:G30)</f>
        <v>279395</v>
      </c>
    </row>
    <row r="37" spans="1:7" ht="15">
      <c r="A37" t="s">
        <v>187</v>
      </c>
      <c r="B37" s="21">
        <v>735</v>
      </c>
    </row>
  </sheetData>
  <pageMargins left="0" right="0" top="0.39370078740157477" bottom="0.39370078740157477" header="0" footer="0"/>
  <pageSetup paperSize="9" scale="75" fitToWidth="0" fitToHeight="0" pageOrder="overThenDown" orientation="landscape" useFirstPageNumber="1" r:id="rId1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3</vt:i4>
      </vt:variant>
    </vt:vector>
  </HeadingPairs>
  <TitlesOfParts>
    <vt:vector size="11" baseType="lpstr">
      <vt:lpstr>Einstellungen</vt:lpstr>
      <vt:lpstr>Kap 1000-4000</vt:lpstr>
      <vt:lpstr>Kap 5000 Kern-AStA</vt:lpstr>
      <vt:lpstr>Kap 6000 autonome Referate</vt:lpstr>
      <vt:lpstr>Kap 7000 AStA-AGen</vt:lpstr>
      <vt:lpstr>Kap 8000 weitere Studierendensc</vt:lpstr>
      <vt:lpstr>FS Matrix</vt:lpstr>
      <vt:lpstr>Stellenplan</vt:lpstr>
      <vt:lpstr>'FS Matrix'!Print_Area</vt:lpstr>
      <vt:lpstr>'Kap 1000-4000'!Print_Area</vt:lpstr>
      <vt:lpstr>Stellenplan!Print_Area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Dopheide</dc:creator>
  <cp:lastModifiedBy>asta</cp:lastModifiedBy>
  <cp:revision>38</cp:revision>
  <cp:lastPrinted>2021-12-01T13:49:58Z</cp:lastPrinted>
  <dcterms:created xsi:type="dcterms:W3CDTF">2016-08-11T16:16:29Z</dcterms:created>
  <dcterms:modified xsi:type="dcterms:W3CDTF">2021-12-01T14:08:18Z</dcterms:modified>
</cp:coreProperties>
</file>